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600" windowHeight="7770" activeTab="1"/>
  </bookViews>
  <sheets>
    <sheet name="oldprice" sheetId="1" r:id="rId1"/>
    <sheet name="newprice" sheetId="2" r:id="rId2"/>
    <sheet name="Sheet3" sheetId="3" r:id="rId3"/>
  </sheets>
  <definedNames>
    <definedName name="_xlnm._FilterDatabase" localSheetId="1" hidden="1">'newprice'!$B$7:$R$7</definedName>
    <definedName name="_xlnm.Print_Area" localSheetId="1">'newprice'!$A$1:$R$50</definedName>
    <definedName name="_xlnm.Print_Area" localSheetId="0">'oldprice'!$A$1:$P$44</definedName>
  </definedNames>
  <calcPr fullCalcOnLoad="1"/>
</workbook>
</file>

<file path=xl/sharedStrings.xml><?xml version="1.0" encoding="utf-8"?>
<sst xmlns="http://schemas.openxmlformats.org/spreadsheetml/2006/main" count="232" uniqueCount="79">
  <si>
    <t>FIRENZE</t>
  </si>
  <si>
    <t>147 / 134</t>
  </si>
  <si>
    <t>INVENTORY TYPE</t>
  </si>
  <si>
    <t>LOT AREA / FLOOR AREA</t>
  </si>
  <si>
    <t>RESERVATION FEE</t>
  </si>
  <si>
    <t>SPOTCASH      5% DISCOUNT</t>
  </si>
  <si>
    <t>2.5% DISCOUNT ON TCP SPREAD OVER 6 MOS</t>
  </si>
  <si>
    <t>TCP SPREAD OVER 12 MOS O% INTEREST</t>
  </si>
  <si>
    <t>20% DOWNPAYMENT OF TCP</t>
  </si>
  <si>
    <t>20 % DP Spread over 24 months 0% interest</t>
  </si>
  <si>
    <t>ESTIMATE MONTHLY AMORTIZATION FOR 5 YRS @ 7.5% INT.</t>
  </si>
  <si>
    <t>ESTIMATE MONTHLY AMORTIZATION FOR 10 YRS @ 10% INT.</t>
  </si>
  <si>
    <t>MILANO</t>
  </si>
  <si>
    <t>246 / 203</t>
  </si>
  <si>
    <t>ALESSANDRA</t>
  </si>
  <si>
    <t>368 / 295</t>
  </si>
  <si>
    <t>N/A</t>
  </si>
  <si>
    <t>A</t>
  </si>
  <si>
    <t>NOTES:</t>
  </si>
  <si>
    <t>Reservation fee is valid for 30 days - non refundable and non transferable</t>
  </si>
  <si>
    <t>Installment for equity must be covered with POST DATED CHECKS</t>
  </si>
  <si>
    <t>Agent's Name:</t>
  </si>
  <si>
    <t>Please make checks payable to ARIENZA LAND CORPORATION</t>
  </si>
  <si>
    <t>Contact Nos.:</t>
  </si>
  <si>
    <t>House construction will begin after 20 % payment of TCP</t>
  </si>
  <si>
    <t>Realty:</t>
  </si>
  <si>
    <r>
      <t xml:space="preserve">Optional enhancement for Terrace on the rear side of </t>
    </r>
    <r>
      <rPr>
        <b/>
        <sz val="9"/>
        <color indexed="8"/>
        <rFont val="Arial"/>
        <family val="2"/>
      </rPr>
      <t>Firenze</t>
    </r>
    <r>
      <rPr>
        <sz val="9"/>
        <color indexed="8"/>
        <rFont val="Arial"/>
        <family val="2"/>
      </rPr>
      <t xml:space="preserve"> and </t>
    </r>
    <r>
      <rPr>
        <b/>
        <sz val="9"/>
        <color indexed="8"/>
        <rFont val="Arial"/>
        <family val="2"/>
      </rPr>
      <t>Milano</t>
    </r>
    <r>
      <rPr>
        <sz val="9"/>
        <color indexed="8"/>
        <rFont val="Arial"/>
        <family val="2"/>
      </rPr>
      <t xml:space="preserve"> is subject to an additional fee</t>
    </r>
  </si>
  <si>
    <t>A surcharge of 3%  per month will apply for late payments/ bounced check</t>
  </si>
  <si>
    <t>Failure to pay the 1st Downpayment/Monthly Amortization after reservation /failure to comply complete requirements would mean automatic cancellation of purchase</t>
  </si>
  <si>
    <t xml:space="preserve">Lots with prices more than P1.9M and House &amp; Lot packages priced above 3.2M are subject to EVAT. </t>
  </si>
  <si>
    <t>www.arienzaland.com</t>
  </si>
  <si>
    <t>Prices are subject to change without prior notice.</t>
  </si>
  <si>
    <t>240/203</t>
  </si>
  <si>
    <t>225/203</t>
  </si>
  <si>
    <t>BLOCK NO.</t>
  </si>
  <si>
    <t>LOT NO.</t>
  </si>
  <si>
    <t>146 / 134</t>
  </si>
  <si>
    <t>2B</t>
  </si>
  <si>
    <t>2A</t>
  </si>
  <si>
    <t>Arienza Land has the right to correct the figures in the pricelist in the event of typographical error.</t>
  </si>
  <si>
    <t>ESTIMATE MONTHLY AMORTIZATION FOR 15 YRS @ 11.5% INT.</t>
  </si>
  <si>
    <t>BALANCE (80%) BANK FINANCING</t>
  </si>
  <si>
    <t>For Pag Ibig Financing 30% Equity and 70% Pag Ibig Loan.</t>
  </si>
  <si>
    <t>Transfer Charges and Miscellaneous will be shouldered by the buyer.</t>
  </si>
  <si>
    <t>CONTRACT PRICE</t>
  </si>
  <si>
    <t>203 / 134</t>
  </si>
  <si>
    <t>202 / 134</t>
  </si>
  <si>
    <t>195 / 134</t>
  </si>
  <si>
    <t>254 / 203</t>
  </si>
  <si>
    <t>240 / 203</t>
  </si>
  <si>
    <t>Fonte di Versailles- Phase 1 Beachfront</t>
  </si>
  <si>
    <t xml:space="preserve">    Investment Options as of November 2013</t>
  </si>
  <si>
    <t>MODERN FIRENZE</t>
  </si>
  <si>
    <t>209 / 203</t>
  </si>
  <si>
    <t>20 % DP Spread over 12 months 0% interest</t>
  </si>
  <si>
    <t>CONTRACT PRICE NET OF RF &amp; DISCOUNT</t>
  </si>
  <si>
    <t>20% DOWNPAYMENT OF TCP NET OF RF</t>
  </si>
  <si>
    <t>20 % DP Spread over 18 months 0% interest</t>
  </si>
  <si>
    <t>TCP Spread over 12 months 0% interest NET OF RF</t>
  </si>
  <si>
    <t>TCP Spread over 18 months 0% interest NET OF RF</t>
  </si>
  <si>
    <t>TCP Spread over 24 months 0% interest NET OF RF</t>
  </si>
  <si>
    <t>READY FOR OCCUPANCY BY APRIL 2015</t>
  </si>
  <si>
    <t>READY FOR OCCUPANCY BY OCTOBER 2015</t>
  </si>
  <si>
    <t>READY FOR OCCUPANCY BY APRIL 2016</t>
  </si>
  <si>
    <t>20% EQUITY of RFO units should be paid in cash or within 3 months after reservation</t>
  </si>
  <si>
    <t>Preferred/Choiced lot/s of the buyer will be constructed upon full payment of the Contract Price or 20% Equity</t>
  </si>
  <si>
    <t>DISCOUNT AMOUNT</t>
  </si>
  <si>
    <t>DISCOUNT IF TOTAL CONTRACT PRICE PAID BEFORE CONSTRUCTION</t>
  </si>
  <si>
    <t>DISCOUNT IF TOTAL CONTRACT PRICE PAID AFTER CONSTRUCTION</t>
  </si>
  <si>
    <t>House construction will begin after 20 % payment of TCP or full payment of equity or full payment of the total contract price</t>
  </si>
  <si>
    <t>20 % DP Spread over 5 months 0% interest</t>
  </si>
  <si>
    <r>
      <t xml:space="preserve">Optional enhancement for Terrace on the rear side of </t>
    </r>
    <r>
      <rPr>
        <b/>
        <sz val="9"/>
        <color indexed="8"/>
        <rFont val="Arial"/>
        <family val="2"/>
      </rPr>
      <t>Firenze, Modern Firenze</t>
    </r>
    <r>
      <rPr>
        <sz val="9"/>
        <color indexed="8"/>
        <rFont val="Arial"/>
        <family val="2"/>
      </rPr>
      <t xml:space="preserve"> and </t>
    </r>
    <r>
      <rPr>
        <b/>
        <sz val="9"/>
        <color indexed="8"/>
        <rFont val="Arial"/>
        <family val="2"/>
      </rPr>
      <t>Milano</t>
    </r>
    <r>
      <rPr>
        <sz val="9"/>
        <color indexed="8"/>
        <rFont val="Arial"/>
        <family val="2"/>
      </rPr>
      <t xml:space="preserve"> is subject to an additional fee</t>
    </r>
  </si>
  <si>
    <t>READY FOR OCCUPANCY BY DECEMBER 2014</t>
  </si>
  <si>
    <t>TCP Spread over 5 months 0% interest NET OF RF</t>
  </si>
  <si>
    <t>20% DOWNPAYMENT OF TCP NET OF RF (CASH)</t>
  </si>
  <si>
    <t xml:space="preserve">    Investment Options as of September 2014</t>
  </si>
  <si>
    <t xml:space="preserve">Est. Monthly Amortization for 5 YRS @ 7% </t>
  </si>
  <si>
    <t xml:space="preserve">Est. Monthly Amortization for 10 YRS @ 8.5% </t>
  </si>
  <si>
    <t>Est. Monthly Amortization for 15 YRS @ 9.5%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</si>
</sst>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₱&quot;* #,##0.00_);_(&quot;₱&quot;* \(#,##0.00\);_(&quot;₱&quot;* &quot;-&quot;??_);_(@_)"/>
    <numFmt numFmtId="165" formatCode="_(* #,##0_);_(* \(#,##0\);_(* &quot;-&quot;??_);_(@_)"/>
  </numFmts>
  <fonts count="36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20"/>
      <color indexed="8"/>
      <name val="Avenir Black"/>
      <family val="0"/>
    </font>
    <font>
      <sz val="11"/>
      <color indexed="8"/>
      <name val="Avenir Black"/>
      <family val="0"/>
    </font>
    <font>
      <sz val="15"/>
      <color indexed="8"/>
      <name val="Arial"/>
      <family val="2"/>
    </font>
    <font>
      <b/>
      <sz val="18"/>
      <color indexed="8"/>
      <name val="Avenir Black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6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3" fontId="2" fillId="0" borderId="0" xfId="42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Alignment="1">
      <alignment/>
    </xf>
    <xf numFmtId="164" fontId="2" fillId="0" borderId="0" xfId="42" applyNumberFormat="1" applyFont="1" applyAlignment="1">
      <alignment/>
    </xf>
    <xf numFmtId="0" fontId="1" fillId="18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43" fontId="7" fillId="0" borderId="0" xfId="42" applyFont="1" applyAlignment="1">
      <alignment/>
    </xf>
    <xf numFmtId="43" fontId="1" fillId="18" borderId="10" xfId="4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4" borderId="10" xfId="0" applyFont="1" applyFill="1" applyBorder="1" applyAlignment="1">
      <alignment horizontal="center"/>
    </xf>
    <xf numFmtId="43" fontId="7" fillId="24" borderId="10" xfId="42" applyFont="1" applyFill="1" applyBorder="1" applyAlignment="1">
      <alignment/>
    </xf>
    <xf numFmtId="43" fontId="7" fillId="24" borderId="10" xfId="0" applyNumberFormat="1" applyFont="1" applyFill="1" applyBorder="1" applyAlignment="1">
      <alignment/>
    </xf>
    <xf numFmtId="0" fontId="7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/>
    </xf>
    <xf numFmtId="0" fontId="11" fillId="0" borderId="0" xfId="0" applyFont="1" applyAlignment="1">
      <alignment/>
    </xf>
    <xf numFmtId="0" fontId="12" fillId="2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2" fillId="17" borderId="10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7" fillId="17" borderId="10" xfId="0" applyFont="1" applyFill="1" applyBorder="1" applyAlignment="1">
      <alignment horizontal="center"/>
    </xf>
    <xf numFmtId="43" fontId="7" fillId="17" borderId="10" xfId="42" applyFont="1" applyFill="1" applyBorder="1" applyAlignment="1">
      <alignment/>
    </xf>
    <xf numFmtId="43" fontId="7" fillId="17" borderId="10" xfId="0" applyNumberFormat="1" applyFont="1" applyFill="1" applyBorder="1" applyAlignment="1">
      <alignment/>
    </xf>
    <xf numFmtId="43" fontId="7" fillId="17" borderId="0" xfId="42" applyFont="1" applyFill="1" applyAlignment="1">
      <alignment/>
    </xf>
    <xf numFmtId="0" fontId="1" fillId="17" borderId="10" xfId="0" applyFont="1" applyFill="1" applyBorder="1" applyAlignment="1">
      <alignment horizontal="center" vertical="center" wrapText="1"/>
    </xf>
    <xf numFmtId="43" fontId="7" fillId="17" borderId="10" xfId="42" applyFont="1" applyFill="1" applyBorder="1" applyAlignment="1">
      <alignment horizontal="center"/>
    </xf>
    <xf numFmtId="43" fontId="7" fillId="17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43" fontId="7" fillId="24" borderId="0" xfId="42" applyFont="1" applyFill="1" applyBorder="1" applyAlignment="1">
      <alignment/>
    </xf>
    <xf numFmtId="43" fontId="7" fillId="24" borderId="0" xfId="0" applyNumberFormat="1" applyFont="1" applyFill="1" applyBorder="1" applyAlignment="1">
      <alignment/>
    </xf>
    <xf numFmtId="0" fontId="12" fillId="24" borderId="11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43" fontId="7" fillId="24" borderId="11" xfId="42" applyFont="1" applyFill="1" applyBorder="1" applyAlignment="1">
      <alignment/>
    </xf>
    <xf numFmtId="43" fontId="7" fillId="24" borderId="11" xfId="0" applyNumberFormat="1" applyFont="1" applyFill="1" applyBorder="1" applyAlignment="1">
      <alignment/>
    </xf>
    <xf numFmtId="0" fontId="12" fillId="24" borderId="12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43" fontId="7" fillId="24" borderId="12" xfId="42" applyFont="1" applyFill="1" applyBorder="1" applyAlignment="1">
      <alignment/>
    </xf>
    <xf numFmtId="0" fontId="7" fillId="24" borderId="13" xfId="0" applyFont="1" applyFill="1" applyBorder="1" applyAlignment="1">
      <alignment/>
    </xf>
    <xf numFmtId="0" fontId="12" fillId="24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43" fontId="7" fillId="24" borderId="13" xfId="42" applyFont="1" applyFill="1" applyBorder="1" applyAlignment="1">
      <alignment/>
    </xf>
    <xf numFmtId="43" fontId="7" fillId="24" borderId="13" xfId="0" applyNumberFormat="1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14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3" fontId="8" fillId="0" borderId="0" xfId="42" applyFont="1" applyAlignment="1">
      <alignment/>
    </xf>
    <xf numFmtId="43" fontId="2" fillId="0" borderId="0" xfId="42" applyFont="1" applyAlignment="1">
      <alignment/>
    </xf>
    <xf numFmtId="0" fontId="15" fillId="25" borderId="10" xfId="0" applyFont="1" applyFill="1" applyBorder="1" applyAlignment="1">
      <alignment horizontal="center" vertical="center" wrapText="1"/>
    </xf>
    <xf numFmtId="43" fontId="15" fillId="25" borderId="10" xfId="42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43" fontId="7" fillId="17" borderId="16" xfId="42" applyFont="1" applyFill="1" applyBorder="1" applyAlignment="1">
      <alignment/>
    </xf>
    <xf numFmtId="43" fontId="7" fillId="24" borderId="16" xfId="42" applyFont="1" applyFill="1" applyBorder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15" fillId="25" borderId="0" xfId="0" applyFont="1" applyFill="1" applyAlignment="1">
      <alignment horizontal="center" vertical="center" wrapText="1"/>
    </xf>
    <xf numFmtId="43" fontId="7" fillId="0" borderId="0" xfId="42" applyFont="1" applyAlignment="1">
      <alignment/>
    </xf>
    <xf numFmtId="0" fontId="14" fillId="0" borderId="15" xfId="0" applyFont="1" applyBorder="1" applyAlignment="1">
      <alignment/>
    </xf>
    <xf numFmtId="0" fontId="16" fillId="24" borderId="0" xfId="0" applyFont="1" applyFill="1" applyAlignment="1">
      <alignment horizontal="center" vertical="center" wrapText="1"/>
    </xf>
    <xf numFmtId="0" fontId="15" fillId="14" borderId="10" xfId="0" applyFont="1" applyFill="1" applyBorder="1" applyAlignment="1">
      <alignment horizontal="center" vertical="center" wrapText="1"/>
    </xf>
    <xf numFmtId="43" fontId="15" fillId="14" borderId="10" xfId="42" applyFont="1" applyFill="1" applyBorder="1" applyAlignment="1">
      <alignment horizontal="center" vertical="center" wrapText="1"/>
    </xf>
    <xf numFmtId="0" fontId="15" fillId="14" borderId="0" xfId="0" applyFont="1" applyFill="1" applyAlignment="1">
      <alignment horizontal="center" vertical="center" wrapText="1"/>
    </xf>
    <xf numFmtId="0" fontId="14" fillId="24" borderId="15" xfId="0" applyFont="1" applyFill="1" applyBorder="1" applyAlignment="1">
      <alignment/>
    </xf>
    <xf numFmtId="0" fontId="15" fillId="22" borderId="10" xfId="0" applyFont="1" applyFill="1" applyBorder="1" applyAlignment="1">
      <alignment horizontal="center" vertical="center" wrapText="1"/>
    </xf>
    <xf numFmtId="43" fontId="15" fillId="22" borderId="10" xfId="42" applyFont="1" applyFill="1" applyBorder="1" applyAlignment="1">
      <alignment horizontal="center" vertical="center" wrapText="1"/>
    </xf>
    <xf numFmtId="0" fontId="15" fillId="22" borderId="0" xfId="0" applyFont="1" applyFill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43" fontId="15" fillId="10" borderId="10" xfId="42" applyFont="1" applyFill="1" applyBorder="1" applyAlignment="1">
      <alignment horizontal="center" vertical="center" wrapText="1"/>
    </xf>
    <xf numFmtId="43" fontId="15" fillId="10" borderId="16" xfId="42" applyFont="1" applyFill="1" applyBorder="1" applyAlignment="1">
      <alignment horizontal="center" vertical="center" wrapText="1"/>
    </xf>
    <xf numFmtId="0" fontId="15" fillId="10" borderId="0" xfId="0" applyFont="1" applyFill="1" applyAlignment="1">
      <alignment horizontal="center" vertical="center" wrapText="1"/>
    </xf>
    <xf numFmtId="165" fontId="7" fillId="0" borderId="0" xfId="42" applyNumberFormat="1" applyFont="1" applyAlignment="1">
      <alignment/>
    </xf>
    <xf numFmtId="0" fontId="18" fillId="0" borderId="0" xfId="0" applyFont="1" applyAlignment="1">
      <alignment/>
    </xf>
    <xf numFmtId="0" fontId="11" fillId="24" borderId="0" xfId="0" applyFont="1" applyFill="1" applyAlignment="1">
      <alignment/>
    </xf>
    <xf numFmtId="43" fontId="7" fillId="24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3" fontId="10" fillId="0" borderId="0" xfId="53" applyNumberFormat="1" applyFont="1" applyAlignment="1">
      <alignment horizontal="center"/>
    </xf>
    <xf numFmtId="43" fontId="8" fillId="0" borderId="0" xfId="42" applyFont="1" applyAlignment="1">
      <alignment horizontal="left"/>
    </xf>
    <xf numFmtId="43" fontId="2" fillId="0" borderId="0" xfId="42" applyFont="1" applyAlignment="1">
      <alignment horizontal="left"/>
    </xf>
    <xf numFmtId="0" fontId="5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2" fillId="24" borderId="17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0" fontId="17" fillId="25" borderId="16" xfId="0" applyFont="1" applyFill="1" applyBorder="1" applyAlignment="1">
      <alignment horizontal="center" vertical="center" wrapText="1"/>
    </xf>
    <xf numFmtId="0" fontId="17" fillId="25" borderId="18" xfId="0" applyFont="1" applyFill="1" applyBorder="1" applyAlignment="1">
      <alignment horizontal="center" vertical="center" wrapText="1"/>
    </xf>
    <xf numFmtId="0" fontId="17" fillId="14" borderId="16" xfId="0" applyFont="1" applyFill="1" applyBorder="1" applyAlignment="1">
      <alignment horizontal="center" vertical="center" wrapText="1"/>
    </xf>
    <xf numFmtId="0" fontId="17" fillId="14" borderId="18" xfId="0" applyFont="1" applyFill="1" applyBorder="1" applyAlignment="1">
      <alignment horizontal="center" vertical="center" wrapText="1"/>
    </xf>
    <xf numFmtId="0" fontId="17" fillId="22" borderId="16" xfId="0" applyFont="1" applyFill="1" applyBorder="1" applyAlignment="1">
      <alignment horizontal="center" vertical="center" wrapText="1"/>
    </xf>
    <xf numFmtId="0" fontId="17" fillId="22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5" fontId="7" fillId="0" borderId="0" xfId="42" applyNumberFormat="1" applyFont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1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952500</xdr:colOff>
      <xdr:row>4</xdr:row>
      <xdr:rowOff>152400</xdr:rowOff>
    </xdr:to>
    <xdr:pic>
      <xdr:nvPicPr>
        <xdr:cNvPr id="1" name="Picture 3" descr="Description: ALC header template"/>
        <xdr:cNvPicPr preferRelativeResize="1">
          <a:picLocks noChangeAspect="1"/>
        </xdr:cNvPicPr>
      </xdr:nvPicPr>
      <xdr:blipFill>
        <a:blip r:embed="rId1"/>
        <a:srcRect r="46734" b="-2665"/>
        <a:stretch>
          <a:fillRect/>
        </a:stretch>
      </xdr:blipFill>
      <xdr:spPr>
        <a:xfrm>
          <a:off x="895350" y="47625"/>
          <a:ext cx="5038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857250</xdr:colOff>
      <xdr:row>0</xdr:row>
      <xdr:rowOff>0</xdr:rowOff>
    </xdr:from>
    <xdr:to>
      <xdr:col>15</xdr:col>
      <xdr:colOff>666750</xdr:colOff>
      <xdr:row>5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53675" y="0"/>
          <a:ext cx="2571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114300</xdr:colOff>
      <xdr:row>0</xdr:row>
      <xdr:rowOff>0</xdr:rowOff>
    </xdr:from>
    <xdr:to>
      <xdr:col>15</xdr:col>
      <xdr:colOff>447675</xdr:colOff>
      <xdr:row>5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0"/>
          <a:ext cx="1876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28575</xdr:rowOff>
    </xdr:from>
    <xdr:to>
      <xdr:col>6</xdr:col>
      <xdr:colOff>790575</xdr:colOff>
      <xdr:row>3</xdr:row>
      <xdr:rowOff>190500</xdr:rowOff>
    </xdr:to>
    <xdr:pic>
      <xdr:nvPicPr>
        <xdr:cNvPr id="2" name="Picture 1" descr="Description: ALC header template"/>
        <xdr:cNvPicPr preferRelativeResize="1">
          <a:picLocks noChangeAspect="1"/>
        </xdr:cNvPicPr>
      </xdr:nvPicPr>
      <xdr:blipFill>
        <a:blip r:embed="rId2"/>
        <a:srcRect r="46734" b="-2665"/>
        <a:stretch>
          <a:fillRect/>
        </a:stretch>
      </xdr:blipFill>
      <xdr:spPr>
        <a:xfrm>
          <a:off x="114300" y="28575"/>
          <a:ext cx="4076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ienzaland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4"/>
  <sheetViews>
    <sheetView zoomScalePageLayoutView="0" workbookViewId="0" topLeftCell="A1">
      <pane ySplit="6" topLeftCell="BM12" activePane="bottomLeft" state="frozen"/>
      <selection pane="topLeft" activeCell="A1" sqref="A1"/>
      <selection pane="bottomLeft" activeCell="G25" sqref="G25"/>
    </sheetView>
  </sheetViews>
  <sheetFormatPr defaultColWidth="9.140625" defaultRowHeight="15"/>
  <cols>
    <col min="1" max="1" width="4.28125" style="0" customWidth="1"/>
    <col min="3" max="3" width="8.421875" style="0" customWidth="1"/>
    <col min="4" max="4" width="15.7109375" style="0" customWidth="1"/>
    <col min="6" max="6" width="15.28125" style="0" customWidth="1"/>
    <col min="7" max="7" width="12.7109375" style="0" customWidth="1"/>
    <col min="8" max="8" width="14.28125" style="0" customWidth="1"/>
    <col min="9" max="9" width="14.00390625" style="0" customWidth="1"/>
    <col min="10" max="10" width="13.00390625" style="0" customWidth="1"/>
    <col min="11" max="11" width="13.7109375" style="0" customWidth="1"/>
    <col min="12" max="12" width="12.7109375" style="0" customWidth="1"/>
    <col min="13" max="13" width="14.57421875" style="0" customWidth="1"/>
    <col min="14" max="14" width="13.57421875" style="0" customWidth="1"/>
    <col min="15" max="15" width="13.28125" style="0" customWidth="1"/>
    <col min="16" max="16" width="13.00390625" style="0" customWidth="1"/>
  </cols>
  <sheetData>
    <row r="1" spans="3:15" s="1" customFormat="1" ht="14.25">
      <c r="C1" s="2"/>
      <c r="F1" s="3"/>
      <c r="I1" s="3"/>
      <c r="N1" s="3"/>
      <c r="O1" s="3"/>
    </row>
    <row r="2" spans="3:16" s="1" customFormat="1" ht="26.25">
      <c r="C2" s="2"/>
      <c r="F2" s="3"/>
      <c r="I2" s="90" t="s">
        <v>50</v>
      </c>
      <c r="J2" s="90"/>
      <c r="K2" s="90"/>
      <c r="L2" s="90"/>
      <c r="M2" s="90"/>
      <c r="N2" s="4"/>
      <c r="O2" s="4"/>
      <c r="P2" s="5"/>
    </row>
    <row r="3" spans="3:15" s="1" customFormat="1" ht="14.25">
      <c r="C3" s="2"/>
      <c r="F3" s="3"/>
      <c r="I3" s="3"/>
      <c r="N3" s="3"/>
      <c r="O3" s="3"/>
    </row>
    <row r="4" spans="3:15" s="1" customFormat="1" ht="18.75">
      <c r="C4" s="2"/>
      <c r="F4" s="3"/>
      <c r="I4" s="94" t="s">
        <v>51</v>
      </c>
      <c r="J4" s="94"/>
      <c r="K4" s="94"/>
      <c r="L4" s="94"/>
      <c r="M4" s="94"/>
      <c r="N4" s="3"/>
      <c r="O4" s="3"/>
    </row>
    <row r="5" spans="3:15" s="1" customFormat="1" ht="12" customHeight="1">
      <c r="C5" s="2"/>
      <c r="F5" s="3"/>
      <c r="I5" s="3"/>
      <c r="J5" s="7"/>
      <c r="K5" s="6"/>
      <c r="L5" s="6"/>
      <c r="N5" s="8"/>
      <c r="O5" s="8"/>
    </row>
    <row r="6" spans="2:16" s="16" customFormat="1" ht="72">
      <c r="B6" s="9" t="s">
        <v>34</v>
      </c>
      <c r="C6" s="9" t="s">
        <v>35</v>
      </c>
      <c r="D6" s="9" t="s">
        <v>2</v>
      </c>
      <c r="E6" s="9" t="s">
        <v>3</v>
      </c>
      <c r="F6" s="15" t="s">
        <v>44</v>
      </c>
      <c r="G6" s="15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41</v>
      </c>
      <c r="N6" s="9" t="s">
        <v>10</v>
      </c>
      <c r="O6" s="9" t="s">
        <v>11</v>
      </c>
      <c r="P6" s="9" t="s">
        <v>40</v>
      </c>
    </row>
    <row r="7" spans="2:16" s="20" customFormat="1" ht="12" hidden="1">
      <c r="B7" s="33">
        <v>2</v>
      </c>
      <c r="C7" s="28" t="s">
        <v>17</v>
      </c>
      <c r="D7" s="28" t="s">
        <v>14</v>
      </c>
      <c r="E7" s="29" t="s">
        <v>15</v>
      </c>
      <c r="F7" s="30">
        <v>15000000</v>
      </c>
      <c r="G7" s="34">
        <v>100000</v>
      </c>
      <c r="H7" s="35" t="s">
        <v>16</v>
      </c>
      <c r="I7" s="35" t="s">
        <v>16</v>
      </c>
      <c r="J7" s="35" t="s">
        <v>16</v>
      </c>
      <c r="K7" s="34">
        <v>3000000</v>
      </c>
      <c r="L7" s="35" t="s">
        <v>16</v>
      </c>
      <c r="M7" s="35">
        <v>12000000</v>
      </c>
      <c r="N7" s="31">
        <f aca="true" t="shared" si="0" ref="N7:N18">M7*20.03795/1000</f>
        <v>240455.39999999997</v>
      </c>
      <c r="O7" s="31">
        <f>M7*13.21507/1000</f>
        <v>158580.84</v>
      </c>
      <c r="P7" s="31">
        <f>M7*11.6819/1000</f>
        <v>140182.8</v>
      </c>
    </row>
    <row r="8" spans="2:16" s="21" customFormat="1" ht="12">
      <c r="B8" s="10">
        <v>3</v>
      </c>
      <c r="C8" s="10">
        <v>2</v>
      </c>
      <c r="D8" s="10" t="s">
        <v>0</v>
      </c>
      <c r="E8" s="17" t="s">
        <v>1</v>
      </c>
      <c r="F8" s="18">
        <v>4342572.5</v>
      </c>
      <c r="G8" s="18">
        <v>20000</v>
      </c>
      <c r="H8" s="19">
        <f>F8*95%</f>
        <v>4125443.875</v>
      </c>
      <c r="I8" s="19">
        <f aca="true" t="shared" si="1" ref="I8:I21">(F8*97.5%)/6</f>
        <v>705668.03125</v>
      </c>
      <c r="J8" s="19">
        <f>(F8-G8)/12</f>
        <v>360214.375</v>
      </c>
      <c r="K8" s="18">
        <f>F8*20%</f>
        <v>868514.5</v>
      </c>
      <c r="L8" s="19">
        <f aca="true" t="shared" si="2" ref="L8:L21">(K8-G8)/24</f>
        <v>35354.770833333336</v>
      </c>
      <c r="M8" s="19">
        <f>F8*80%</f>
        <v>3474058</v>
      </c>
      <c r="N8" s="19">
        <f>M8*20.03795/1000</f>
        <v>69613.00050109999</v>
      </c>
      <c r="O8" s="19">
        <f>M8*13.21507/1000</f>
        <v>45909.91965406001</v>
      </c>
      <c r="P8" s="19">
        <f>M8*11.6819/1000</f>
        <v>40583.5981502</v>
      </c>
    </row>
    <row r="9" spans="2:16" s="21" customFormat="1" ht="12" customHeight="1">
      <c r="B9" s="10">
        <v>3</v>
      </c>
      <c r="C9" s="10">
        <v>3</v>
      </c>
      <c r="D9" s="10" t="s">
        <v>0</v>
      </c>
      <c r="E9" s="17" t="s">
        <v>1</v>
      </c>
      <c r="F9" s="18">
        <v>4342572.5</v>
      </c>
      <c r="G9" s="18">
        <v>20000</v>
      </c>
      <c r="H9" s="19">
        <f aca="true" t="shared" si="3" ref="H9:H18">F9*95%</f>
        <v>4125443.875</v>
      </c>
      <c r="I9" s="19">
        <f t="shared" si="1"/>
        <v>705668.03125</v>
      </c>
      <c r="J9" s="19">
        <f aca="true" t="shared" si="4" ref="J9:J18">(F9-G9)/12</f>
        <v>360214.375</v>
      </c>
      <c r="K9" s="18">
        <f aca="true" t="shared" si="5" ref="K9:K18">F9*20%</f>
        <v>868514.5</v>
      </c>
      <c r="L9" s="19">
        <f t="shared" si="2"/>
        <v>35354.770833333336</v>
      </c>
      <c r="M9" s="19">
        <f aca="true" t="shared" si="6" ref="M9:M18">F9*80%</f>
        <v>3474058</v>
      </c>
      <c r="N9" s="19">
        <f t="shared" si="0"/>
        <v>69613.00050109999</v>
      </c>
      <c r="O9" s="19">
        <f aca="true" t="shared" si="7" ref="O9:O18">M9*13.21507/1000</f>
        <v>45909.91965406001</v>
      </c>
      <c r="P9" s="19">
        <f aca="true" t="shared" si="8" ref="P9:P18">M9*11.6819/1000</f>
        <v>40583.5981502</v>
      </c>
    </row>
    <row r="10" spans="2:16" s="21" customFormat="1" ht="12" hidden="1">
      <c r="B10" s="10">
        <v>3</v>
      </c>
      <c r="C10" s="10">
        <v>6</v>
      </c>
      <c r="D10" s="10" t="s">
        <v>0</v>
      </c>
      <c r="E10" s="17" t="s">
        <v>1</v>
      </c>
      <c r="F10" s="18">
        <v>4342572.5</v>
      </c>
      <c r="G10" s="18">
        <v>20000</v>
      </c>
      <c r="H10" s="19">
        <f>F10*95%</f>
        <v>4125443.875</v>
      </c>
      <c r="I10" s="19">
        <f t="shared" si="1"/>
        <v>705668.03125</v>
      </c>
      <c r="J10" s="19">
        <f>(F10-G10)/12</f>
        <v>360214.375</v>
      </c>
      <c r="K10" s="18">
        <f>F10*20%</f>
        <v>868514.5</v>
      </c>
      <c r="L10" s="19">
        <f t="shared" si="2"/>
        <v>35354.770833333336</v>
      </c>
      <c r="M10" s="19">
        <f>F10*80%</f>
        <v>3474058</v>
      </c>
      <c r="N10" s="19">
        <f>M10*20.03795/1000</f>
        <v>69613.00050109999</v>
      </c>
      <c r="O10" s="19">
        <f>M10*13.21507/1000</f>
        <v>45909.91965406001</v>
      </c>
      <c r="P10" s="19">
        <f>M10*11.6819/1000</f>
        <v>40583.5981502</v>
      </c>
    </row>
    <row r="11" spans="2:16" s="21" customFormat="1" ht="12" hidden="1">
      <c r="B11" s="10">
        <v>3</v>
      </c>
      <c r="C11" s="10">
        <v>7</v>
      </c>
      <c r="D11" s="10" t="s">
        <v>0</v>
      </c>
      <c r="E11" s="17" t="s">
        <v>1</v>
      </c>
      <c r="F11" s="18">
        <v>4342572.5</v>
      </c>
      <c r="G11" s="18">
        <v>20000</v>
      </c>
      <c r="H11" s="19">
        <f>F11*95%</f>
        <v>4125443.875</v>
      </c>
      <c r="I11" s="19">
        <f t="shared" si="1"/>
        <v>705668.03125</v>
      </c>
      <c r="J11" s="19">
        <f>(F11-G11)/12</f>
        <v>360214.375</v>
      </c>
      <c r="K11" s="18">
        <f>F11*20%</f>
        <v>868514.5</v>
      </c>
      <c r="L11" s="19">
        <f t="shared" si="2"/>
        <v>35354.770833333336</v>
      </c>
      <c r="M11" s="19">
        <f>F11*80%</f>
        <v>3474058</v>
      </c>
      <c r="N11" s="19">
        <f>M11*20.03795/1000</f>
        <v>69613.00050109999</v>
      </c>
      <c r="O11" s="19">
        <f>M11*13.21507/1000</f>
        <v>45909.91965406001</v>
      </c>
      <c r="P11" s="19">
        <f>M11*11.6819/1000</f>
        <v>40583.5981502</v>
      </c>
    </row>
    <row r="12" spans="2:16" s="21" customFormat="1" ht="12">
      <c r="B12" s="10">
        <v>3</v>
      </c>
      <c r="C12" s="10">
        <v>8</v>
      </c>
      <c r="D12" s="10" t="s">
        <v>0</v>
      </c>
      <c r="E12" s="17" t="s">
        <v>1</v>
      </c>
      <c r="F12" s="18">
        <v>4342572.5</v>
      </c>
      <c r="G12" s="18">
        <v>20000</v>
      </c>
      <c r="H12" s="19">
        <f>F12*95%</f>
        <v>4125443.875</v>
      </c>
      <c r="I12" s="19">
        <f t="shared" si="1"/>
        <v>705668.03125</v>
      </c>
      <c r="J12" s="19">
        <f>(F12-G12)/12</f>
        <v>360214.375</v>
      </c>
      <c r="K12" s="18">
        <f>F12*20%</f>
        <v>868514.5</v>
      </c>
      <c r="L12" s="19">
        <f t="shared" si="2"/>
        <v>35354.770833333336</v>
      </c>
      <c r="M12" s="19">
        <f>F12*80%</f>
        <v>3474058</v>
      </c>
      <c r="N12" s="19">
        <f>M12*20.03795/1000</f>
        <v>69613.00050109999</v>
      </c>
      <c r="O12" s="19">
        <f>M12*13.21507/1000</f>
        <v>45909.91965406001</v>
      </c>
      <c r="P12" s="19">
        <f>M12*11.6819/1000</f>
        <v>40583.5981502</v>
      </c>
    </row>
    <row r="13" spans="2:16" s="21" customFormat="1" ht="12">
      <c r="B13" s="10">
        <v>3</v>
      </c>
      <c r="C13" s="10">
        <v>9</v>
      </c>
      <c r="D13" s="10" t="s">
        <v>0</v>
      </c>
      <c r="E13" s="17" t="s">
        <v>1</v>
      </c>
      <c r="F13" s="18">
        <v>4342572.5</v>
      </c>
      <c r="G13" s="18">
        <v>20000</v>
      </c>
      <c r="H13" s="19">
        <f>F13*95%</f>
        <v>4125443.875</v>
      </c>
      <c r="I13" s="19">
        <f t="shared" si="1"/>
        <v>705668.03125</v>
      </c>
      <c r="J13" s="19">
        <f>(F13-G13)/12</f>
        <v>360214.375</v>
      </c>
      <c r="K13" s="18">
        <f>F13*20%</f>
        <v>868514.5</v>
      </c>
      <c r="L13" s="19">
        <f t="shared" si="2"/>
        <v>35354.770833333336</v>
      </c>
      <c r="M13" s="19">
        <f>F13*80%</f>
        <v>3474058</v>
      </c>
      <c r="N13" s="19">
        <f>M13*20.03795/1000</f>
        <v>69613.00050109999</v>
      </c>
      <c r="O13" s="19">
        <f>M13*13.21507/1000</f>
        <v>45909.91965406001</v>
      </c>
      <c r="P13" s="19">
        <f>M13*11.6819/1000</f>
        <v>40583.5981502</v>
      </c>
    </row>
    <row r="14" spans="2:16" s="21" customFormat="1" ht="12" hidden="1">
      <c r="B14" s="10">
        <v>3</v>
      </c>
      <c r="C14" s="10">
        <v>10</v>
      </c>
      <c r="D14" s="10" t="s">
        <v>0</v>
      </c>
      <c r="E14" s="17" t="s">
        <v>36</v>
      </c>
      <c r="F14" s="18">
        <v>4330555</v>
      </c>
      <c r="G14" s="18">
        <v>20000</v>
      </c>
      <c r="H14" s="19">
        <f t="shared" si="3"/>
        <v>4114027.25</v>
      </c>
      <c r="I14" s="19">
        <f t="shared" si="1"/>
        <v>703715.1875</v>
      </c>
      <c r="J14" s="19">
        <f t="shared" si="4"/>
        <v>359212.9166666667</v>
      </c>
      <c r="K14" s="18">
        <f t="shared" si="5"/>
        <v>866111</v>
      </c>
      <c r="L14" s="19">
        <f t="shared" si="2"/>
        <v>35254.625</v>
      </c>
      <c r="M14" s="19">
        <f t="shared" si="6"/>
        <v>3464444</v>
      </c>
      <c r="N14" s="19">
        <f t="shared" si="0"/>
        <v>69420.3556498</v>
      </c>
      <c r="O14" s="19">
        <f t="shared" si="7"/>
        <v>45782.86997108001</v>
      </c>
      <c r="P14" s="19">
        <f t="shared" si="8"/>
        <v>40471.288363600004</v>
      </c>
    </row>
    <row r="15" spans="2:16" s="21" customFormat="1" ht="12.75">
      <c r="B15" s="23">
        <v>5</v>
      </c>
      <c r="C15" s="10">
        <v>8</v>
      </c>
      <c r="D15" s="10" t="s">
        <v>52</v>
      </c>
      <c r="E15" s="17" t="s">
        <v>45</v>
      </c>
      <c r="F15" s="18">
        <v>5038412.5</v>
      </c>
      <c r="G15" s="18">
        <v>20000</v>
      </c>
      <c r="H15" s="19">
        <f t="shared" si="3"/>
        <v>4786491.875</v>
      </c>
      <c r="I15" s="19">
        <f t="shared" si="1"/>
        <v>818742.03125</v>
      </c>
      <c r="J15" s="19">
        <f t="shared" si="4"/>
        <v>418201.0416666667</v>
      </c>
      <c r="K15" s="18">
        <f t="shared" si="5"/>
        <v>1007682.5</v>
      </c>
      <c r="L15" s="19">
        <f t="shared" si="2"/>
        <v>41153.4375</v>
      </c>
      <c r="M15" s="19">
        <f t="shared" si="6"/>
        <v>4030730</v>
      </c>
      <c r="N15" s="19">
        <f t="shared" si="0"/>
        <v>80767.56620349998</v>
      </c>
      <c r="O15" s="19">
        <f t="shared" si="7"/>
        <v>53266.37910110001</v>
      </c>
      <c r="P15" s="19">
        <f t="shared" si="8"/>
        <v>47086.584787</v>
      </c>
    </row>
    <row r="16" spans="2:16" s="21" customFormat="1" ht="12.75">
      <c r="B16" s="23">
        <v>5</v>
      </c>
      <c r="C16" s="10">
        <v>9</v>
      </c>
      <c r="D16" s="10" t="s">
        <v>52</v>
      </c>
      <c r="E16" s="17" t="s">
        <v>46</v>
      </c>
      <c r="F16" s="18">
        <v>5027772.5</v>
      </c>
      <c r="G16" s="18">
        <v>20000</v>
      </c>
      <c r="H16" s="19">
        <f t="shared" si="3"/>
        <v>4776383.875</v>
      </c>
      <c r="I16" s="19">
        <f t="shared" si="1"/>
        <v>817013.03125</v>
      </c>
      <c r="J16" s="19">
        <f t="shared" si="4"/>
        <v>417314.375</v>
      </c>
      <c r="K16" s="18">
        <f t="shared" si="5"/>
        <v>1005554.5</v>
      </c>
      <c r="L16" s="19">
        <f t="shared" si="2"/>
        <v>41064.770833333336</v>
      </c>
      <c r="M16" s="19">
        <f t="shared" si="6"/>
        <v>4022218</v>
      </c>
      <c r="N16" s="19">
        <f t="shared" si="0"/>
        <v>80597.00317309999</v>
      </c>
      <c r="O16" s="19">
        <f t="shared" si="7"/>
        <v>53153.89242526</v>
      </c>
      <c r="P16" s="19">
        <f t="shared" si="8"/>
        <v>46987.148454199996</v>
      </c>
    </row>
    <row r="17" spans="2:16" s="21" customFormat="1" ht="12.75">
      <c r="B17" s="23">
        <v>6</v>
      </c>
      <c r="C17" s="10">
        <v>2</v>
      </c>
      <c r="D17" s="10" t="s">
        <v>52</v>
      </c>
      <c r="E17" s="17" t="s">
        <v>45</v>
      </c>
      <c r="F17" s="18">
        <v>5038412.5</v>
      </c>
      <c r="G17" s="18">
        <v>20000</v>
      </c>
      <c r="H17" s="19">
        <f t="shared" si="3"/>
        <v>4786491.875</v>
      </c>
      <c r="I17" s="19">
        <f t="shared" si="1"/>
        <v>818742.03125</v>
      </c>
      <c r="J17" s="19">
        <f t="shared" si="4"/>
        <v>418201.0416666667</v>
      </c>
      <c r="K17" s="18">
        <f t="shared" si="5"/>
        <v>1007682.5</v>
      </c>
      <c r="L17" s="19">
        <f t="shared" si="2"/>
        <v>41153.4375</v>
      </c>
      <c r="M17" s="19">
        <f t="shared" si="6"/>
        <v>4030730</v>
      </c>
      <c r="N17" s="19">
        <f t="shared" si="0"/>
        <v>80767.56620349998</v>
      </c>
      <c r="O17" s="19">
        <f t="shared" si="7"/>
        <v>53266.37910110001</v>
      </c>
      <c r="P17" s="19">
        <f t="shared" si="8"/>
        <v>47086.584787</v>
      </c>
    </row>
    <row r="18" spans="2:16" s="21" customFormat="1" ht="12.75">
      <c r="B18" s="23">
        <v>6</v>
      </c>
      <c r="C18" s="10">
        <v>3</v>
      </c>
      <c r="D18" s="10" t="s">
        <v>52</v>
      </c>
      <c r="E18" s="17" t="s">
        <v>46</v>
      </c>
      <c r="F18" s="18">
        <v>5027772.5</v>
      </c>
      <c r="G18" s="18">
        <v>20000</v>
      </c>
      <c r="H18" s="19">
        <f t="shared" si="3"/>
        <v>4776383.875</v>
      </c>
      <c r="I18" s="19">
        <f t="shared" si="1"/>
        <v>817013.03125</v>
      </c>
      <c r="J18" s="19">
        <f t="shared" si="4"/>
        <v>417314.375</v>
      </c>
      <c r="K18" s="18">
        <f t="shared" si="5"/>
        <v>1005554.5</v>
      </c>
      <c r="L18" s="19">
        <f t="shared" si="2"/>
        <v>41064.770833333336</v>
      </c>
      <c r="M18" s="19">
        <f t="shared" si="6"/>
        <v>4022218</v>
      </c>
      <c r="N18" s="19">
        <f t="shared" si="0"/>
        <v>80597.00317309999</v>
      </c>
      <c r="O18" s="19">
        <f t="shared" si="7"/>
        <v>53153.89242526</v>
      </c>
      <c r="P18" s="19">
        <f t="shared" si="8"/>
        <v>46987.148454199996</v>
      </c>
    </row>
    <row r="19" spans="2:16" s="21" customFormat="1" ht="12.75">
      <c r="B19" s="23">
        <v>7</v>
      </c>
      <c r="C19" s="10">
        <v>7</v>
      </c>
      <c r="D19" s="10" t="s">
        <v>52</v>
      </c>
      <c r="E19" s="17" t="s">
        <v>45</v>
      </c>
      <c r="F19" s="18">
        <v>5038412.5</v>
      </c>
      <c r="G19" s="18">
        <v>20000</v>
      </c>
      <c r="H19" s="19">
        <f aca="true" t="shared" si="9" ref="H19:H32">F19*95%</f>
        <v>4786491.875</v>
      </c>
      <c r="I19" s="19">
        <f t="shared" si="1"/>
        <v>818742.03125</v>
      </c>
      <c r="J19" s="19">
        <f>(F19-G19)/12</f>
        <v>418201.0416666667</v>
      </c>
      <c r="K19" s="18">
        <f aca="true" t="shared" si="10" ref="K19:K32">F19*20%</f>
        <v>1007682.5</v>
      </c>
      <c r="L19" s="19">
        <f t="shared" si="2"/>
        <v>41153.4375</v>
      </c>
      <c r="M19" s="19">
        <f>F19*80%</f>
        <v>4030730</v>
      </c>
      <c r="N19" s="19">
        <f aca="true" t="shared" si="11" ref="N19:N32">M19*20.03795/1000</f>
        <v>80767.56620349998</v>
      </c>
      <c r="O19" s="19">
        <f aca="true" t="shared" si="12" ref="O19:O32">M19*13.21507/1000</f>
        <v>53266.37910110001</v>
      </c>
      <c r="P19" s="19">
        <f aca="true" t="shared" si="13" ref="P19:P32">M19*11.6819/1000</f>
        <v>47086.584787</v>
      </c>
    </row>
    <row r="20" spans="2:16" s="21" customFormat="1" ht="12.75">
      <c r="B20" s="23">
        <v>7</v>
      </c>
      <c r="C20" s="10">
        <v>6</v>
      </c>
      <c r="D20" s="10" t="s">
        <v>52</v>
      </c>
      <c r="E20" s="17" t="s">
        <v>46</v>
      </c>
      <c r="F20" s="18">
        <v>5027772.5</v>
      </c>
      <c r="G20" s="18">
        <v>20000</v>
      </c>
      <c r="H20" s="19">
        <f t="shared" si="9"/>
        <v>4776383.875</v>
      </c>
      <c r="I20" s="19">
        <f t="shared" si="1"/>
        <v>817013.03125</v>
      </c>
      <c r="J20" s="19">
        <f>(F20-G20)/12</f>
        <v>417314.375</v>
      </c>
      <c r="K20" s="18">
        <f t="shared" si="10"/>
        <v>1005554.5</v>
      </c>
      <c r="L20" s="19">
        <f t="shared" si="2"/>
        <v>41064.770833333336</v>
      </c>
      <c r="M20" s="19">
        <f>F20*80%</f>
        <v>4022218</v>
      </c>
      <c r="N20" s="19">
        <f t="shared" si="11"/>
        <v>80597.00317309999</v>
      </c>
      <c r="O20" s="19">
        <f t="shared" si="12"/>
        <v>53153.89242526</v>
      </c>
      <c r="P20" s="19">
        <f t="shared" si="13"/>
        <v>46987.148454199996</v>
      </c>
    </row>
    <row r="21" spans="2:16" s="22" customFormat="1" ht="12.75">
      <c r="B21" s="24">
        <v>1</v>
      </c>
      <c r="C21" s="10">
        <v>14</v>
      </c>
      <c r="D21" s="10" t="s">
        <v>52</v>
      </c>
      <c r="E21" s="17" t="s">
        <v>47</v>
      </c>
      <c r="F21" s="18">
        <v>4953292.5</v>
      </c>
      <c r="G21" s="18">
        <v>20000</v>
      </c>
      <c r="H21" s="19">
        <f t="shared" si="9"/>
        <v>4705627.875</v>
      </c>
      <c r="I21" s="19">
        <f t="shared" si="1"/>
        <v>804910.03125</v>
      </c>
      <c r="J21" s="19">
        <f>(F21-G21)/12</f>
        <v>411107.7083333333</v>
      </c>
      <c r="K21" s="18">
        <f t="shared" si="10"/>
        <v>990658.5</v>
      </c>
      <c r="L21" s="19">
        <f t="shared" si="2"/>
        <v>40444.104166666664</v>
      </c>
      <c r="M21" s="19">
        <f>F21*80%</f>
        <v>3962634</v>
      </c>
      <c r="N21" s="19">
        <f t="shared" si="11"/>
        <v>79403.0619603</v>
      </c>
      <c r="O21" s="19">
        <f t="shared" si="12"/>
        <v>52366.48569438</v>
      </c>
      <c r="P21" s="19">
        <f t="shared" si="13"/>
        <v>46291.0941246</v>
      </c>
    </row>
    <row r="22" spans="2:16" s="22" customFormat="1" ht="12.75">
      <c r="B22" s="24">
        <v>1</v>
      </c>
      <c r="C22" s="10">
        <v>16</v>
      </c>
      <c r="D22" s="10" t="s">
        <v>52</v>
      </c>
      <c r="E22" s="17" t="s">
        <v>47</v>
      </c>
      <c r="F22" s="18">
        <v>4953292.5</v>
      </c>
      <c r="G22" s="18">
        <v>20000</v>
      </c>
      <c r="H22" s="19">
        <f t="shared" si="9"/>
        <v>4705627.875</v>
      </c>
      <c r="I22" s="19">
        <f aca="true" t="shared" si="14" ref="I22:I32">(F22*97.5%)/6</f>
        <v>804910.03125</v>
      </c>
      <c r="J22" s="19">
        <f aca="true" t="shared" si="15" ref="J22:J32">(F22-G22)/12</f>
        <v>411107.7083333333</v>
      </c>
      <c r="K22" s="18">
        <f t="shared" si="10"/>
        <v>990658.5</v>
      </c>
      <c r="L22" s="19">
        <f aca="true" t="shared" si="16" ref="L22:L32">(K22-G22)/24</f>
        <v>40444.104166666664</v>
      </c>
      <c r="M22" s="19">
        <f aca="true" t="shared" si="17" ref="M22:M32">F22*80%</f>
        <v>3962634</v>
      </c>
      <c r="N22" s="19">
        <f t="shared" si="11"/>
        <v>79403.0619603</v>
      </c>
      <c r="O22" s="19">
        <f t="shared" si="12"/>
        <v>52366.48569438</v>
      </c>
      <c r="P22" s="19">
        <f t="shared" si="13"/>
        <v>46291.0941246</v>
      </c>
    </row>
    <row r="23" spans="2:16" s="22" customFormat="1" ht="12.75">
      <c r="B23" s="24">
        <v>1</v>
      </c>
      <c r="C23" s="10">
        <v>23</v>
      </c>
      <c r="D23" s="10" t="s">
        <v>52</v>
      </c>
      <c r="E23" s="17" t="s">
        <v>47</v>
      </c>
      <c r="F23" s="18">
        <v>4953292.5</v>
      </c>
      <c r="G23" s="18">
        <v>20000</v>
      </c>
      <c r="H23" s="19">
        <f t="shared" si="9"/>
        <v>4705627.875</v>
      </c>
      <c r="I23" s="19">
        <f t="shared" si="14"/>
        <v>804910.03125</v>
      </c>
      <c r="J23" s="19">
        <f t="shared" si="15"/>
        <v>411107.7083333333</v>
      </c>
      <c r="K23" s="18">
        <f t="shared" si="10"/>
        <v>990658.5</v>
      </c>
      <c r="L23" s="19">
        <f t="shared" si="16"/>
        <v>40444.104166666664</v>
      </c>
      <c r="M23" s="19">
        <f t="shared" si="17"/>
        <v>3962634</v>
      </c>
      <c r="N23" s="19">
        <f t="shared" si="11"/>
        <v>79403.0619603</v>
      </c>
      <c r="O23" s="19">
        <f t="shared" si="12"/>
        <v>52366.48569438</v>
      </c>
      <c r="P23" s="19">
        <f t="shared" si="13"/>
        <v>46291.0941246</v>
      </c>
    </row>
    <row r="24" spans="2:16" s="21" customFormat="1" ht="12.75">
      <c r="B24" s="23">
        <v>6</v>
      </c>
      <c r="C24" s="10">
        <v>1</v>
      </c>
      <c r="D24" s="10" t="s">
        <v>12</v>
      </c>
      <c r="E24" s="17" t="s">
        <v>53</v>
      </c>
      <c r="F24" s="18">
        <v>6694707.7</v>
      </c>
      <c r="G24" s="18">
        <v>20000</v>
      </c>
      <c r="H24" s="19">
        <f t="shared" si="9"/>
        <v>6359972.3149999995</v>
      </c>
      <c r="I24" s="19">
        <f>(F24*97.5%)/6</f>
        <v>1087890.00125</v>
      </c>
      <c r="J24" s="19">
        <f>(F24-G24)/12</f>
        <v>556225.6416666667</v>
      </c>
      <c r="K24" s="18">
        <f t="shared" si="10"/>
        <v>1338941.54</v>
      </c>
      <c r="L24" s="19">
        <f>(K24-G24)/24</f>
        <v>54955.8975</v>
      </c>
      <c r="M24" s="19">
        <f>F24*80%</f>
        <v>5355766.16</v>
      </c>
      <c r="N24" s="19">
        <f t="shared" si="11"/>
        <v>107318.574525772</v>
      </c>
      <c r="O24" s="19">
        <f t="shared" si="12"/>
        <v>70776.82470803121</v>
      </c>
      <c r="P24" s="19">
        <f t="shared" si="13"/>
        <v>62565.52470450401</v>
      </c>
    </row>
    <row r="25" spans="2:16" s="21" customFormat="1" ht="12.75">
      <c r="B25" s="23">
        <v>5</v>
      </c>
      <c r="C25" s="10">
        <v>7</v>
      </c>
      <c r="D25" s="10" t="s">
        <v>12</v>
      </c>
      <c r="E25" s="17" t="s">
        <v>53</v>
      </c>
      <c r="F25" s="18">
        <v>6694707.5</v>
      </c>
      <c r="G25" s="18">
        <v>20000</v>
      </c>
      <c r="H25" s="19">
        <f t="shared" si="9"/>
        <v>6359972.125</v>
      </c>
      <c r="I25" s="19">
        <f>(F25*97.5%)/6</f>
        <v>1087889.96875</v>
      </c>
      <c r="J25" s="19">
        <f>(F25-G25)/12</f>
        <v>556225.625</v>
      </c>
      <c r="K25" s="18">
        <f t="shared" si="10"/>
        <v>1338941.5</v>
      </c>
      <c r="L25" s="19">
        <f>(K25-G25)/24</f>
        <v>54955.895833333336</v>
      </c>
      <c r="M25" s="19">
        <f>F25*80%</f>
        <v>5355766</v>
      </c>
      <c r="N25" s="19">
        <f t="shared" si="11"/>
        <v>107318.57131969999</v>
      </c>
      <c r="O25" s="19">
        <f t="shared" si="12"/>
        <v>70776.82259362</v>
      </c>
      <c r="P25" s="19">
        <f t="shared" si="13"/>
        <v>62565.5228354</v>
      </c>
    </row>
    <row r="26" spans="2:16" s="21" customFormat="1" ht="12.75">
      <c r="B26" s="23">
        <v>7</v>
      </c>
      <c r="C26" s="10">
        <v>8</v>
      </c>
      <c r="D26" s="10" t="s">
        <v>12</v>
      </c>
      <c r="E26" s="17" t="s">
        <v>53</v>
      </c>
      <c r="F26" s="18">
        <v>6694707.5</v>
      </c>
      <c r="G26" s="18">
        <v>20000</v>
      </c>
      <c r="H26" s="19">
        <f t="shared" si="9"/>
        <v>6359972.125</v>
      </c>
      <c r="I26" s="19">
        <f>(F26*97.5%)/6</f>
        <v>1087889.96875</v>
      </c>
      <c r="J26" s="19">
        <f>(F26-G26)/12</f>
        <v>556225.625</v>
      </c>
      <c r="K26" s="18">
        <f t="shared" si="10"/>
        <v>1338941.5</v>
      </c>
      <c r="L26" s="19">
        <f>(K26-G26)/24</f>
        <v>54955.895833333336</v>
      </c>
      <c r="M26" s="19">
        <f>F26*80%</f>
        <v>5355766</v>
      </c>
      <c r="N26" s="19">
        <f t="shared" si="11"/>
        <v>107318.57131969999</v>
      </c>
      <c r="O26" s="19">
        <f t="shared" si="12"/>
        <v>70776.82259362</v>
      </c>
      <c r="P26" s="19">
        <f t="shared" si="13"/>
        <v>62565.5228354</v>
      </c>
    </row>
    <row r="27" spans="2:16" s="22" customFormat="1" ht="12.75">
      <c r="B27" s="24">
        <v>1</v>
      </c>
      <c r="C27" s="10">
        <v>6</v>
      </c>
      <c r="D27" s="10" t="s">
        <v>12</v>
      </c>
      <c r="E27" s="17" t="s">
        <v>13</v>
      </c>
      <c r="F27" s="18">
        <v>7089355</v>
      </c>
      <c r="G27" s="18">
        <v>20000</v>
      </c>
      <c r="H27" s="19">
        <f t="shared" si="9"/>
        <v>6734887.25</v>
      </c>
      <c r="I27" s="19">
        <f t="shared" si="14"/>
        <v>1152020.1875</v>
      </c>
      <c r="J27" s="19">
        <f t="shared" si="15"/>
        <v>589112.9166666666</v>
      </c>
      <c r="K27" s="18">
        <f t="shared" si="10"/>
        <v>1417871</v>
      </c>
      <c r="L27" s="19">
        <f t="shared" si="16"/>
        <v>58244.625</v>
      </c>
      <c r="M27" s="19">
        <f t="shared" si="17"/>
        <v>5671484</v>
      </c>
      <c r="N27" s="19">
        <f t="shared" si="11"/>
        <v>113644.91281779998</v>
      </c>
      <c r="O27" s="19">
        <f t="shared" si="12"/>
        <v>74949.05806388002</v>
      </c>
      <c r="P27" s="19">
        <f t="shared" si="13"/>
        <v>66253.70893960001</v>
      </c>
    </row>
    <row r="28" spans="2:16" s="22" customFormat="1" ht="12.75" hidden="1">
      <c r="B28" s="27" t="s">
        <v>38</v>
      </c>
      <c r="C28" s="28">
        <v>5</v>
      </c>
      <c r="D28" s="28" t="s">
        <v>12</v>
      </c>
      <c r="E28" s="29" t="s">
        <v>33</v>
      </c>
      <c r="F28" s="32">
        <v>6736987.5</v>
      </c>
      <c r="G28" s="30">
        <v>20000</v>
      </c>
      <c r="H28" s="31">
        <f t="shared" si="9"/>
        <v>6400138.125</v>
      </c>
      <c r="I28" s="31">
        <f t="shared" si="14"/>
        <v>1094760.46875</v>
      </c>
      <c r="J28" s="31">
        <f t="shared" si="15"/>
        <v>559748.9583333334</v>
      </c>
      <c r="K28" s="30">
        <f t="shared" si="10"/>
        <v>1347397.5</v>
      </c>
      <c r="L28" s="31">
        <f t="shared" si="16"/>
        <v>55308.229166666664</v>
      </c>
      <c r="M28" s="31">
        <f t="shared" si="17"/>
        <v>5389590</v>
      </c>
      <c r="N28" s="31">
        <f t="shared" si="11"/>
        <v>107996.33494049999</v>
      </c>
      <c r="O28" s="31">
        <f t="shared" si="12"/>
        <v>71223.8091213</v>
      </c>
      <c r="P28" s="31">
        <f t="shared" si="13"/>
        <v>62960.651421</v>
      </c>
    </row>
    <row r="29" spans="2:16" s="21" customFormat="1" ht="12">
      <c r="B29" s="10">
        <v>2</v>
      </c>
      <c r="C29" s="10">
        <v>15</v>
      </c>
      <c r="D29" s="10" t="s">
        <v>12</v>
      </c>
      <c r="E29" s="17" t="s">
        <v>48</v>
      </c>
      <c r="F29" s="18">
        <v>7235495</v>
      </c>
      <c r="G29" s="18">
        <v>20000</v>
      </c>
      <c r="H29" s="19">
        <f t="shared" si="9"/>
        <v>6873720.25</v>
      </c>
      <c r="I29" s="19">
        <f t="shared" si="14"/>
        <v>1175767.9375</v>
      </c>
      <c r="J29" s="19">
        <f t="shared" si="15"/>
        <v>601291.25</v>
      </c>
      <c r="K29" s="18">
        <f t="shared" si="10"/>
        <v>1447099</v>
      </c>
      <c r="L29" s="19">
        <f t="shared" si="16"/>
        <v>59462.458333333336</v>
      </c>
      <c r="M29" s="19">
        <f t="shared" si="17"/>
        <v>5788396</v>
      </c>
      <c r="N29" s="19">
        <f t="shared" si="11"/>
        <v>115987.58962819999</v>
      </c>
      <c r="O29" s="19">
        <f t="shared" si="12"/>
        <v>76494.05832772</v>
      </c>
      <c r="P29" s="19">
        <f t="shared" si="13"/>
        <v>67619.4632324</v>
      </c>
    </row>
    <row r="30" spans="2:16" s="21" customFormat="1" ht="12">
      <c r="B30" s="10">
        <v>2</v>
      </c>
      <c r="C30" s="10">
        <v>14</v>
      </c>
      <c r="D30" s="10" t="s">
        <v>12</v>
      </c>
      <c r="E30" s="17" t="s">
        <v>49</v>
      </c>
      <c r="F30" s="18">
        <v>7017250</v>
      </c>
      <c r="G30" s="18">
        <v>20000</v>
      </c>
      <c r="H30" s="19">
        <f t="shared" si="9"/>
        <v>6666387.5</v>
      </c>
      <c r="I30" s="19">
        <f t="shared" si="14"/>
        <v>1140303.125</v>
      </c>
      <c r="J30" s="19">
        <f t="shared" si="15"/>
        <v>583104.1666666666</v>
      </c>
      <c r="K30" s="18">
        <f t="shared" si="10"/>
        <v>1403450</v>
      </c>
      <c r="L30" s="19">
        <f t="shared" si="16"/>
        <v>57643.75</v>
      </c>
      <c r="M30" s="19">
        <f t="shared" si="17"/>
        <v>5613800</v>
      </c>
      <c r="N30" s="19">
        <f t="shared" si="11"/>
        <v>112489.04371</v>
      </c>
      <c r="O30" s="19">
        <f t="shared" si="12"/>
        <v>74186.75996600001</v>
      </c>
      <c r="P30" s="19">
        <f t="shared" si="13"/>
        <v>65579.85022000001</v>
      </c>
    </row>
    <row r="31" spans="2:16" s="21" customFormat="1" ht="12">
      <c r="B31" s="10">
        <v>2</v>
      </c>
      <c r="C31" s="10">
        <v>13</v>
      </c>
      <c r="D31" s="10" t="s">
        <v>12</v>
      </c>
      <c r="E31" s="17" t="s">
        <v>49</v>
      </c>
      <c r="F31" s="18">
        <v>7017250</v>
      </c>
      <c r="G31" s="18">
        <v>20000</v>
      </c>
      <c r="H31" s="19">
        <f t="shared" si="9"/>
        <v>6666387.5</v>
      </c>
      <c r="I31" s="19">
        <f t="shared" si="14"/>
        <v>1140303.125</v>
      </c>
      <c r="J31" s="19">
        <f t="shared" si="15"/>
        <v>583104.1666666666</v>
      </c>
      <c r="K31" s="18">
        <f t="shared" si="10"/>
        <v>1403450</v>
      </c>
      <c r="L31" s="19">
        <f t="shared" si="16"/>
        <v>57643.75</v>
      </c>
      <c r="M31" s="19">
        <f t="shared" si="17"/>
        <v>5613800</v>
      </c>
      <c r="N31" s="19">
        <f t="shared" si="11"/>
        <v>112489.04371</v>
      </c>
      <c r="O31" s="19">
        <f t="shared" si="12"/>
        <v>74186.75996600001</v>
      </c>
      <c r="P31" s="19">
        <f t="shared" si="13"/>
        <v>65579.85022000001</v>
      </c>
    </row>
    <row r="32" spans="2:16" s="22" customFormat="1" ht="12.75" hidden="1">
      <c r="B32" s="27" t="s">
        <v>37</v>
      </c>
      <c r="C32" s="28">
        <v>6</v>
      </c>
      <c r="D32" s="28" t="s">
        <v>12</v>
      </c>
      <c r="E32" s="29" t="s">
        <v>32</v>
      </c>
      <c r="F32" s="30">
        <v>6917250</v>
      </c>
      <c r="G32" s="30">
        <v>20000</v>
      </c>
      <c r="H32" s="31">
        <f t="shared" si="9"/>
        <v>6571387.5</v>
      </c>
      <c r="I32" s="31">
        <f t="shared" si="14"/>
        <v>1124053.125</v>
      </c>
      <c r="J32" s="31">
        <f t="shared" si="15"/>
        <v>574770.8333333334</v>
      </c>
      <c r="K32" s="30">
        <f t="shared" si="10"/>
        <v>1383450</v>
      </c>
      <c r="L32" s="31">
        <f t="shared" si="16"/>
        <v>56810.416666666664</v>
      </c>
      <c r="M32" s="31">
        <f t="shared" si="17"/>
        <v>5533800</v>
      </c>
      <c r="N32" s="31">
        <f t="shared" si="11"/>
        <v>110886.00770999999</v>
      </c>
      <c r="O32" s="31">
        <f t="shared" si="12"/>
        <v>73129.55436600001</v>
      </c>
      <c r="P32" s="31">
        <f t="shared" si="13"/>
        <v>64645.298220000004</v>
      </c>
    </row>
    <row r="33" spans="2:15" s="1" customFormat="1" ht="14.25">
      <c r="B33" s="2" t="s">
        <v>18</v>
      </c>
      <c r="C33" s="11">
        <v>1</v>
      </c>
      <c r="D33" s="12" t="s">
        <v>19</v>
      </c>
      <c r="E33" s="13"/>
      <c r="F33" s="14"/>
      <c r="G33" s="12"/>
      <c r="H33" s="12"/>
      <c r="I33" s="14"/>
      <c r="J33" s="12"/>
      <c r="K33" s="12"/>
      <c r="N33" s="3"/>
      <c r="O33" s="3"/>
    </row>
    <row r="34" spans="3:15" s="1" customFormat="1" ht="15">
      <c r="C34" s="11">
        <v>2</v>
      </c>
      <c r="D34" s="12" t="s">
        <v>20</v>
      </c>
      <c r="E34" s="12"/>
      <c r="F34" s="14"/>
      <c r="G34" s="12"/>
      <c r="H34" s="12"/>
      <c r="I34" s="14"/>
      <c r="J34" s="12"/>
      <c r="K34" s="12"/>
      <c r="M34" s="92" t="s">
        <v>21</v>
      </c>
      <c r="N34" s="92"/>
      <c r="O34" s="92"/>
    </row>
    <row r="35" spans="3:15" s="1" customFormat="1" ht="15" customHeight="1">
      <c r="C35" s="11">
        <v>3</v>
      </c>
      <c r="D35" s="12" t="s">
        <v>22</v>
      </c>
      <c r="E35" s="12"/>
      <c r="F35" s="14"/>
      <c r="G35" s="12"/>
      <c r="H35" s="12"/>
      <c r="I35" s="14"/>
      <c r="J35" s="12"/>
      <c r="K35" s="12"/>
      <c r="M35" s="93" t="s">
        <v>23</v>
      </c>
      <c r="N35" s="93"/>
      <c r="O35" s="93"/>
    </row>
    <row r="36" spans="3:15" s="1" customFormat="1" ht="15" customHeight="1">
      <c r="C36" s="11">
        <v>4</v>
      </c>
      <c r="D36" s="12" t="s">
        <v>24</v>
      </c>
      <c r="E36" s="12"/>
      <c r="F36" s="14"/>
      <c r="G36" s="12"/>
      <c r="H36" s="12"/>
      <c r="I36" s="14"/>
      <c r="J36" s="12"/>
      <c r="K36" s="12"/>
      <c r="M36" s="93" t="s">
        <v>25</v>
      </c>
      <c r="N36" s="93"/>
      <c r="O36" s="93"/>
    </row>
    <row r="37" spans="3:15" s="1" customFormat="1" ht="14.25">
      <c r="C37" s="11">
        <v>5</v>
      </c>
      <c r="D37" s="12" t="s">
        <v>26</v>
      </c>
      <c r="E37" s="12"/>
      <c r="F37" s="14"/>
      <c r="G37" s="12"/>
      <c r="H37" s="12"/>
      <c r="I37" s="14"/>
      <c r="J37" s="12"/>
      <c r="K37" s="12"/>
      <c r="N37" s="3"/>
      <c r="O37" s="3"/>
    </row>
    <row r="38" spans="3:15" s="1" customFormat="1" ht="14.25">
      <c r="C38" s="11">
        <v>6</v>
      </c>
      <c r="D38" s="12" t="s">
        <v>27</v>
      </c>
      <c r="E38" s="12"/>
      <c r="F38" s="14"/>
      <c r="G38" s="12"/>
      <c r="H38" s="12"/>
      <c r="I38" s="14"/>
      <c r="J38" s="12"/>
      <c r="K38" s="12"/>
      <c r="N38" s="3"/>
      <c r="O38" s="3"/>
    </row>
    <row r="39" spans="3:15" s="1" customFormat="1" ht="14.25">
      <c r="C39" s="11">
        <v>7</v>
      </c>
      <c r="D39" s="12" t="s">
        <v>28</v>
      </c>
      <c r="E39" s="12"/>
      <c r="F39" s="14"/>
      <c r="G39" s="12"/>
      <c r="H39" s="12"/>
      <c r="I39" s="14"/>
      <c r="J39" s="12"/>
      <c r="K39" s="12"/>
      <c r="N39" s="3"/>
      <c r="O39" s="3"/>
    </row>
    <row r="40" spans="3:16" s="1" customFormat="1" ht="15.75" customHeight="1">
      <c r="C40" s="11">
        <v>8</v>
      </c>
      <c r="D40" s="12" t="s">
        <v>29</v>
      </c>
      <c r="E40" s="12"/>
      <c r="F40" s="14"/>
      <c r="G40" s="12"/>
      <c r="H40" s="12"/>
      <c r="I40" s="14"/>
      <c r="J40" s="12"/>
      <c r="K40" s="12"/>
      <c r="N40" s="91" t="s">
        <v>30</v>
      </c>
      <c r="O40" s="91"/>
      <c r="P40" s="91"/>
    </row>
    <row r="41" spans="3:15" s="1" customFormat="1" ht="12" customHeight="1">
      <c r="C41" s="11">
        <v>9</v>
      </c>
      <c r="D41" s="12" t="s">
        <v>43</v>
      </c>
      <c r="E41" s="12"/>
      <c r="F41" s="14"/>
      <c r="G41" s="12"/>
      <c r="H41" s="12"/>
      <c r="I41" s="14"/>
      <c r="J41" s="12"/>
      <c r="K41" s="12"/>
      <c r="N41" s="3"/>
      <c r="O41" s="3"/>
    </row>
    <row r="42" spans="3:15" s="1" customFormat="1" ht="14.25">
      <c r="C42" s="11">
        <v>10</v>
      </c>
      <c r="D42" s="12" t="s">
        <v>31</v>
      </c>
      <c r="E42" s="12"/>
      <c r="F42" s="14"/>
      <c r="G42" s="12"/>
      <c r="H42" s="12"/>
      <c r="I42" s="14"/>
      <c r="J42" s="12"/>
      <c r="K42" s="12"/>
      <c r="N42" s="3"/>
      <c r="O42" s="3"/>
    </row>
    <row r="43" spans="3:4" ht="14.25">
      <c r="C43" s="11">
        <v>11</v>
      </c>
      <c r="D43" s="12" t="s">
        <v>39</v>
      </c>
    </row>
    <row r="44" spans="3:7" ht="15">
      <c r="C44" s="11">
        <v>12</v>
      </c>
      <c r="D44" s="25" t="s">
        <v>42</v>
      </c>
      <c r="E44" s="26"/>
      <c r="F44" s="26"/>
      <c r="G44" s="26"/>
    </row>
  </sheetData>
  <sheetProtection/>
  <mergeCells count="6">
    <mergeCell ref="I2:M2"/>
    <mergeCell ref="N40:P40"/>
    <mergeCell ref="M34:O34"/>
    <mergeCell ref="M35:O35"/>
    <mergeCell ref="M36:O36"/>
    <mergeCell ref="I4:M4"/>
  </mergeCells>
  <hyperlinks>
    <hyperlink ref="N40" r:id="rId1" display="www.arienzaland.com"/>
  </hyperlinks>
  <printOptions/>
  <pageMargins left="1.01" right="0.4" top="0.59" bottom="0.42" header="0.3" footer="0.3"/>
  <pageSetup fitToHeight="1" fitToWidth="1" horizontalDpi="600" verticalDpi="600" orientation="landscape" paperSize="5" scale="81" r:id="rId3"/>
  <rowBreaks count="1" manualBreakCount="1">
    <brk id="42" max="255" man="1"/>
  </rowBreaks>
  <colBreaks count="1" manualBreakCount="1">
    <brk id="2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7"/>
  <sheetViews>
    <sheetView tabSelected="1" zoomScalePageLayoutView="0" workbookViewId="0" topLeftCell="A24">
      <selection activeCell="B24" sqref="B24:G24"/>
    </sheetView>
  </sheetViews>
  <sheetFormatPr defaultColWidth="9.140625" defaultRowHeight="15"/>
  <cols>
    <col min="1" max="1" width="1.7109375" style="0" customWidth="1"/>
    <col min="2" max="2" width="7.28125" style="0" customWidth="1"/>
    <col min="3" max="3" width="5.140625" style="0" customWidth="1"/>
    <col min="4" max="4" width="16.140625" style="0" customWidth="1"/>
    <col min="6" max="6" width="11.57421875" style="0" customWidth="1"/>
    <col min="7" max="7" width="12.140625" style="0" customWidth="1"/>
    <col min="8" max="8" width="11.7109375" style="0" customWidth="1"/>
    <col min="9" max="9" width="13.8515625" style="0" customWidth="1"/>
    <col min="10" max="10" width="11.00390625" style="0" customWidth="1"/>
    <col min="11" max="12" width="12.28125" style="0" customWidth="1"/>
    <col min="13" max="13" width="12.7109375" style="0" customWidth="1"/>
    <col min="14" max="14" width="11.00390625" style="0" customWidth="1"/>
    <col min="15" max="15" width="12.140625" style="0" customWidth="1"/>
    <col min="16" max="16" width="11.00390625" style="0" customWidth="1"/>
    <col min="17" max="17" width="10.8515625" style="0" customWidth="1"/>
    <col min="18" max="18" width="10.421875" style="0" customWidth="1"/>
  </cols>
  <sheetData>
    <row r="1" spans="3:17" s="1" customFormat="1" ht="10.5" customHeight="1">
      <c r="C1" s="2"/>
      <c r="G1" s="3"/>
      <c r="H1" s="3"/>
      <c r="I1" s="3"/>
      <c r="K1" s="3"/>
      <c r="P1" s="3"/>
      <c r="Q1" s="3"/>
    </row>
    <row r="2" spans="3:18" s="1" customFormat="1" ht="26.25">
      <c r="C2" s="2"/>
      <c r="G2" s="3"/>
      <c r="H2" s="90" t="s">
        <v>50</v>
      </c>
      <c r="I2" s="90"/>
      <c r="J2" s="90"/>
      <c r="K2" s="90"/>
      <c r="L2" s="90"/>
      <c r="M2" s="90"/>
      <c r="N2" s="60"/>
      <c r="O2" s="60"/>
      <c r="P2" s="4"/>
      <c r="Q2" s="4"/>
      <c r="R2" s="5"/>
    </row>
    <row r="3" spans="3:17" s="1" customFormat="1" ht="6.75" customHeight="1">
      <c r="C3" s="2"/>
      <c r="G3" s="3"/>
      <c r="H3" s="3"/>
      <c r="I3" s="3"/>
      <c r="K3" s="3"/>
      <c r="P3" s="3"/>
      <c r="Q3" s="3"/>
    </row>
    <row r="4" spans="3:17" s="1" customFormat="1" ht="15" customHeight="1">
      <c r="C4" s="2"/>
      <c r="G4" s="3"/>
      <c r="H4" s="94" t="s">
        <v>75</v>
      </c>
      <c r="I4" s="94"/>
      <c r="J4" s="94"/>
      <c r="K4" s="94"/>
      <c r="L4" s="94"/>
      <c r="M4" s="61"/>
      <c r="N4" s="61"/>
      <c r="O4" s="61"/>
      <c r="P4" s="3"/>
      <c r="Q4" s="3"/>
    </row>
    <row r="5" spans="3:17" s="1" customFormat="1" ht="9.75" customHeight="1">
      <c r="C5" s="2"/>
      <c r="G5" s="3"/>
      <c r="H5" s="3"/>
      <c r="I5" s="3"/>
      <c r="K5" s="36"/>
      <c r="L5" s="36"/>
      <c r="M5" s="36"/>
      <c r="N5" s="36"/>
      <c r="O5" s="36"/>
      <c r="P5" s="3"/>
      <c r="Q5" s="3"/>
    </row>
    <row r="6" spans="2:17" s="1" customFormat="1" ht="24" customHeight="1">
      <c r="B6" s="95" t="s">
        <v>72</v>
      </c>
      <c r="C6" s="96"/>
      <c r="D6" s="96"/>
      <c r="E6" s="96"/>
      <c r="F6" s="96"/>
      <c r="G6" s="97"/>
      <c r="H6" s="111" t="s">
        <v>67</v>
      </c>
      <c r="I6" s="111"/>
      <c r="J6" s="111" t="s">
        <v>68</v>
      </c>
      <c r="K6" s="111"/>
      <c r="L6" s="7"/>
      <c r="M6" s="109"/>
      <c r="N6" s="109"/>
      <c r="O6" s="109"/>
      <c r="P6" s="8"/>
      <c r="Q6" s="8"/>
    </row>
    <row r="7" spans="2:18" s="66" customFormat="1" ht="60" customHeight="1">
      <c r="B7" s="82" t="s">
        <v>34</v>
      </c>
      <c r="C7" s="82" t="s">
        <v>35</v>
      </c>
      <c r="D7" s="82" t="s">
        <v>2</v>
      </c>
      <c r="E7" s="82" t="s">
        <v>3</v>
      </c>
      <c r="F7" s="83" t="s">
        <v>4</v>
      </c>
      <c r="G7" s="84" t="s">
        <v>44</v>
      </c>
      <c r="H7" s="85" t="s">
        <v>66</v>
      </c>
      <c r="I7" s="83" t="s">
        <v>55</v>
      </c>
      <c r="J7" s="85" t="s">
        <v>66</v>
      </c>
      <c r="K7" s="83" t="s">
        <v>55</v>
      </c>
      <c r="L7" s="82" t="s">
        <v>73</v>
      </c>
      <c r="M7" s="82" t="s">
        <v>74</v>
      </c>
      <c r="N7" s="82" t="s">
        <v>70</v>
      </c>
      <c r="O7" s="82" t="s">
        <v>41</v>
      </c>
      <c r="P7" s="82" t="s">
        <v>76</v>
      </c>
      <c r="Q7" s="82" t="s">
        <v>77</v>
      </c>
      <c r="R7" s="82" t="s">
        <v>78</v>
      </c>
    </row>
    <row r="8" spans="2:18" s="20" customFormat="1" ht="12" hidden="1">
      <c r="B8" s="33">
        <v>2</v>
      </c>
      <c r="C8" s="28" t="s">
        <v>17</v>
      </c>
      <c r="D8" s="28" t="s">
        <v>14</v>
      </c>
      <c r="E8" s="29" t="s">
        <v>15</v>
      </c>
      <c r="F8" s="34">
        <v>100000</v>
      </c>
      <c r="G8" s="68">
        <v>15000000</v>
      </c>
      <c r="I8" s="70"/>
      <c r="J8" s="30"/>
      <c r="K8" s="30"/>
      <c r="M8" s="34">
        <v>3000000</v>
      </c>
      <c r="O8" s="35">
        <v>12000000</v>
      </c>
      <c r="P8" s="31">
        <f>O8*20.03795/1000</f>
        <v>240455.39999999997</v>
      </c>
      <c r="Q8" s="31">
        <f>O8*13.21507/1000</f>
        <v>158580.84</v>
      </c>
      <c r="R8" s="31">
        <f>O8*11.6819/1000</f>
        <v>140182.8</v>
      </c>
    </row>
    <row r="9" spans="2:18" s="21" customFormat="1" ht="12" hidden="1">
      <c r="B9" s="10">
        <v>3</v>
      </c>
      <c r="C9" s="10">
        <v>9</v>
      </c>
      <c r="D9" s="10" t="s">
        <v>0</v>
      </c>
      <c r="E9" s="17" t="s">
        <v>1</v>
      </c>
      <c r="F9" s="18">
        <v>20000</v>
      </c>
      <c r="G9" s="69">
        <v>4559701.13</v>
      </c>
      <c r="H9" s="18">
        <f>(G9-F9)*5%</f>
        <v>226985.0565</v>
      </c>
      <c r="I9" s="18">
        <f>G9-H9-F9</f>
        <v>4312716.0735</v>
      </c>
      <c r="J9" s="18"/>
      <c r="K9" s="18">
        <f>(G9-F9)-J9</f>
        <v>4539701.13</v>
      </c>
      <c r="L9" s="18">
        <f aca="true" t="shared" si="0" ref="L9:L14">(G9-F9)/6</f>
        <v>756616.855</v>
      </c>
      <c r="M9" s="18">
        <f aca="true" t="shared" si="1" ref="M9:M15">(G9-F9)*20%</f>
        <v>907940.226</v>
      </c>
      <c r="N9" s="19">
        <f>M9/6</f>
        <v>151323.371</v>
      </c>
      <c r="O9" s="19">
        <f aca="true" t="shared" si="2" ref="O9:O15">(G9-F9)*80%</f>
        <v>3631760.904</v>
      </c>
      <c r="P9" s="19">
        <f>O9*20.03795/1000</f>
        <v>72773.04340630681</v>
      </c>
      <c r="Q9" s="19">
        <f>O9*13.21507/1000</f>
        <v>47993.974569623286</v>
      </c>
      <c r="R9" s="19">
        <f>O9*11.6819/1000</f>
        <v>42425.86770443761</v>
      </c>
    </row>
    <row r="10" spans="2:18" s="21" customFormat="1" ht="12" hidden="1">
      <c r="B10" s="10">
        <v>3</v>
      </c>
      <c r="C10" s="10">
        <v>10</v>
      </c>
      <c r="D10" s="10" t="s">
        <v>0</v>
      </c>
      <c r="E10" s="17" t="s">
        <v>36</v>
      </c>
      <c r="F10" s="18">
        <v>20000</v>
      </c>
      <c r="G10" s="69">
        <v>4330555</v>
      </c>
      <c r="H10" s="18">
        <f>(G10-F10)*5%</f>
        <v>215527.75</v>
      </c>
      <c r="I10" s="18">
        <f>G10-H10-F10</f>
        <v>4095027.25</v>
      </c>
      <c r="J10" s="18"/>
      <c r="K10" s="18">
        <f>(G10-F10)-J10</f>
        <v>4310555</v>
      </c>
      <c r="L10" s="18">
        <f t="shared" si="0"/>
        <v>718425.8333333334</v>
      </c>
      <c r="M10" s="18">
        <f t="shared" si="1"/>
        <v>862111</v>
      </c>
      <c r="N10" s="19">
        <f>M10/6</f>
        <v>143685.16666666666</v>
      </c>
      <c r="O10" s="19">
        <f t="shared" si="2"/>
        <v>3448444</v>
      </c>
      <c r="P10" s="19">
        <f>O10*20.03795/1000</f>
        <v>69099.7484498</v>
      </c>
      <c r="Q10" s="19">
        <f>O10*13.21507/1000</f>
        <v>45571.42885108</v>
      </c>
      <c r="R10" s="19">
        <f>O10*11.6819/1000</f>
        <v>40284.3779636</v>
      </c>
    </row>
    <row r="11" spans="2:18" s="22" customFormat="1" ht="12.75" hidden="1">
      <c r="B11" s="27" t="s">
        <v>38</v>
      </c>
      <c r="C11" s="28">
        <v>5</v>
      </c>
      <c r="D11" s="28" t="s">
        <v>12</v>
      </c>
      <c r="E11" s="29" t="s">
        <v>33</v>
      </c>
      <c r="F11" s="30">
        <v>20000</v>
      </c>
      <c r="G11" s="32">
        <v>6736987.5</v>
      </c>
      <c r="H11" s="18">
        <f>(G11-F11)*5%</f>
        <v>335849.375</v>
      </c>
      <c r="I11" s="18">
        <f>G11-H11-F11</f>
        <v>6381138.125</v>
      </c>
      <c r="J11" s="18">
        <v>200000</v>
      </c>
      <c r="K11" s="18">
        <f>(G11-F11)-J11</f>
        <v>6516987.5</v>
      </c>
      <c r="L11" s="18">
        <f t="shared" si="0"/>
        <v>1119497.9166666667</v>
      </c>
      <c r="M11" s="18">
        <f t="shared" si="1"/>
        <v>1343397.5</v>
      </c>
      <c r="N11" s="19">
        <f>M11/6</f>
        <v>223899.58333333334</v>
      </c>
      <c r="O11" s="19">
        <f t="shared" si="2"/>
        <v>5373590</v>
      </c>
      <c r="P11" s="31">
        <f>O11*20.03795/1000</f>
        <v>107675.72774049999</v>
      </c>
      <c r="Q11" s="31">
        <f>O11*13.21507/1000</f>
        <v>71012.36800130001</v>
      </c>
      <c r="R11" s="31">
        <f>O11*11.6819/1000</f>
        <v>62773.74102100001</v>
      </c>
    </row>
    <row r="12" spans="2:18" s="21" customFormat="1" ht="12">
      <c r="B12" s="10">
        <v>2</v>
      </c>
      <c r="C12" s="10">
        <v>15</v>
      </c>
      <c r="D12" s="10" t="s">
        <v>12</v>
      </c>
      <c r="E12" s="17" t="s">
        <v>48</v>
      </c>
      <c r="F12" s="18">
        <v>20000</v>
      </c>
      <c r="G12" s="69">
        <v>7797269.75</v>
      </c>
      <c r="H12" s="18">
        <f>(G12-F12)*5%</f>
        <v>388863.48750000005</v>
      </c>
      <c r="I12" s="18">
        <f>G12-H12-F12</f>
        <v>7388406.2625</v>
      </c>
      <c r="J12" s="18">
        <v>200000</v>
      </c>
      <c r="K12" s="18">
        <f>(G12-F12)-J12</f>
        <v>7577269.75</v>
      </c>
      <c r="L12" s="18">
        <f>(G12-F12)/5</f>
        <v>1555453.95</v>
      </c>
      <c r="M12" s="18">
        <f t="shared" si="1"/>
        <v>1555453.9500000002</v>
      </c>
      <c r="N12" s="89" t="s">
        <v>16</v>
      </c>
      <c r="O12" s="19">
        <f t="shared" si="2"/>
        <v>6221815.800000001</v>
      </c>
      <c r="P12" s="19">
        <f>O12*19.8012/1000</f>
        <v>123199.41901896003</v>
      </c>
      <c r="Q12" s="19">
        <f>O12*11.61085/1000</f>
        <v>72240.56998143</v>
      </c>
      <c r="R12" s="19">
        <f>O12*10.44225/1000</f>
        <v>64969.75603755</v>
      </c>
    </row>
    <row r="13" spans="2:18" s="21" customFormat="1" ht="12">
      <c r="B13" s="10">
        <v>2</v>
      </c>
      <c r="C13" s="10">
        <v>14</v>
      </c>
      <c r="D13" s="10" t="s">
        <v>12</v>
      </c>
      <c r="E13" s="17" t="s">
        <v>49</v>
      </c>
      <c r="F13" s="18">
        <v>20000</v>
      </c>
      <c r="G13" s="69">
        <v>7568112.5</v>
      </c>
      <c r="H13" s="18">
        <f>(G13-F13)*5%</f>
        <v>377405.625</v>
      </c>
      <c r="I13" s="18">
        <f>G13-H13-F13</f>
        <v>7170706.875</v>
      </c>
      <c r="J13" s="18">
        <v>200000</v>
      </c>
      <c r="K13" s="18">
        <f>(G13-F13)-J13</f>
        <v>7348112.5</v>
      </c>
      <c r="L13" s="18">
        <f>(G13-F13)/5</f>
        <v>1509622.5</v>
      </c>
      <c r="M13" s="18">
        <f t="shared" si="1"/>
        <v>1509622.5</v>
      </c>
      <c r="N13" s="89" t="s">
        <v>16</v>
      </c>
      <c r="O13" s="19">
        <f t="shared" si="2"/>
        <v>6038490</v>
      </c>
      <c r="P13" s="19">
        <f>O13*19.8012/1000</f>
        <v>119569.348188</v>
      </c>
      <c r="Q13" s="19">
        <f>O13*11.61085/1000</f>
        <v>70112.00161649998</v>
      </c>
      <c r="R13" s="19">
        <f>O13*10.44225/1000</f>
        <v>63055.4222025</v>
      </c>
    </row>
    <row r="14" spans="2:18" s="22" customFormat="1" ht="12.75" hidden="1">
      <c r="B14" s="27" t="s">
        <v>37</v>
      </c>
      <c r="C14" s="28">
        <v>6</v>
      </c>
      <c r="D14" s="28" t="s">
        <v>12</v>
      </c>
      <c r="E14" s="29" t="s">
        <v>32</v>
      </c>
      <c r="F14" s="30">
        <v>20000</v>
      </c>
      <c r="G14" s="30">
        <v>6917250</v>
      </c>
      <c r="H14" s="30"/>
      <c r="I14" s="30"/>
      <c r="J14" s="31">
        <f>G14*95%</f>
        <v>6571387.5</v>
      </c>
      <c r="K14" s="19">
        <f>(J14-F14)/3</f>
        <v>2183795.8333333335</v>
      </c>
      <c r="L14" s="18">
        <f t="shared" si="0"/>
        <v>1149541.6666666667</v>
      </c>
      <c r="M14" s="30">
        <f>G14*20%</f>
        <v>1383450</v>
      </c>
      <c r="N14" s="31">
        <f>(M14-F14)/24</f>
        <v>56810.416666666664</v>
      </c>
      <c r="O14" s="31">
        <f>G14*80%</f>
        <v>5533800</v>
      </c>
      <c r="P14" s="19">
        <f>O14*19.8012/1000</f>
        <v>109575.88056</v>
      </c>
      <c r="Q14" s="19">
        <f>O14*11.61085/1000</f>
        <v>64252.12173</v>
      </c>
      <c r="R14" s="19">
        <f>O14*10.44225/1000</f>
        <v>57785.32305</v>
      </c>
    </row>
    <row r="15" spans="2:18" s="88" customFormat="1" ht="12.75">
      <c r="B15" s="23">
        <v>2</v>
      </c>
      <c r="C15" s="10">
        <v>13</v>
      </c>
      <c r="D15" s="10" t="s">
        <v>12</v>
      </c>
      <c r="E15" s="17" t="s">
        <v>32</v>
      </c>
      <c r="F15" s="18">
        <v>20000</v>
      </c>
      <c r="G15" s="18">
        <v>7748112.5</v>
      </c>
      <c r="H15" s="18">
        <f>(G15-F15)*5%</f>
        <v>386405.625</v>
      </c>
      <c r="I15" s="18">
        <f>G15-H15-F15</f>
        <v>7341706.875</v>
      </c>
      <c r="J15" s="18">
        <v>200000</v>
      </c>
      <c r="K15" s="18">
        <f>(G15-F15)-J15</f>
        <v>7528112.5</v>
      </c>
      <c r="L15" s="18">
        <f>(G15-F15)/5</f>
        <v>1545622.5</v>
      </c>
      <c r="M15" s="18">
        <f t="shared" si="1"/>
        <v>1545622.5</v>
      </c>
      <c r="N15" s="89" t="s">
        <v>16</v>
      </c>
      <c r="O15" s="19">
        <f t="shared" si="2"/>
        <v>6182490</v>
      </c>
      <c r="P15" s="19">
        <f>O15*19.8012/1000</f>
        <v>122420.720988</v>
      </c>
      <c r="Q15" s="19">
        <f>O15*11.61085/1000</f>
        <v>71783.9640165</v>
      </c>
      <c r="R15" s="19">
        <f>O15*10.44225/1000</f>
        <v>64559.1062025</v>
      </c>
    </row>
    <row r="16" spans="2:18" s="22" customFormat="1" ht="5.25" customHeight="1">
      <c r="B16" s="37"/>
      <c r="C16" s="38"/>
      <c r="D16" s="38"/>
      <c r="E16" s="39"/>
      <c r="F16" s="40"/>
      <c r="G16" s="40"/>
      <c r="H16" s="40"/>
      <c r="I16" s="40"/>
      <c r="J16" s="41"/>
      <c r="K16" s="41"/>
      <c r="L16" s="41"/>
      <c r="M16" s="40"/>
      <c r="N16" s="41"/>
      <c r="O16" s="41"/>
      <c r="P16" s="41"/>
      <c r="Q16" s="41"/>
      <c r="R16" s="41"/>
    </row>
    <row r="17" spans="2:18" s="22" customFormat="1" ht="25.5" customHeight="1">
      <c r="B17" s="95" t="s">
        <v>61</v>
      </c>
      <c r="C17" s="96"/>
      <c r="D17" s="96"/>
      <c r="E17" s="96"/>
      <c r="F17" s="96"/>
      <c r="G17" s="97"/>
      <c r="H17" s="101" t="s">
        <v>67</v>
      </c>
      <c r="I17" s="102"/>
      <c r="J17" s="101" t="s">
        <v>68</v>
      </c>
      <c r="K17" s="102"/>
      <c r="L17" s="73"/>
      <c r="M17" s="73"/>
      <c r="N17" s="41"/>
      <c r="O17" s="41"/>
      <c r="P17" s="41"/>
      <c r="Q17" s="41"/>
      <c r="R17" s="41"/>
    </row>
    <row r="18" spans="2:18" s="66" customFormat="1" ht="45">
      <c r="B18" s="64" t="s">
        <v>34</v>
      </c>
      <c r="C18" s="64" t="s">
        <v>35</v>
      </c>
      <c r="D18" s="64" t="s">
        <v>2</v>
      </c>
      <c r="E18" s="64" t="s">
        <v>3</v>
      </c>
      <c r="F18" s="65" t="s">
        <v>4</v>
      </c>
      <c r="G18" s="65" t="s">
        <v>44</v>
      </c>
      <c r="H18" s="71" t="s">
        <v>66</v>
      </c>
      <c r="I18" s="65" t="s">
        <v>55</v>
      </c>
      <c r="J18" s="71" t="s">
        <v>66</v>
      </c>
      <c r="K18" s="65" t="s">
        <v>55</v>
      </c>
      <c r="L18" s="71" t="s">
        <v>58</v>
      </c>
      <c r="M18" s="64" t="s">
        <v>56</v>
      </c>
      <c r="N18" s="64" t="s">
        <v>54</v>
      </c>
      <c r="O18" s="64" t="s">
        <v>41</v>
      </c>
      <c r="P18" s="64" t="s">
        <v>76</v>
      </c>
      <c r="Q18" s="64" t="s">
        <v>77</v>
      </c>
      <c r="R18" s="64" t="s">
        <v>78</v>
      </c>
    </row>
    <row r="19" spans="2:18" s="21" customFormat="1" ht="12.75">
      <c r="B19" s="23">
        <v>5</v>
      </c>
      <c r="C19" s="10">
        <v>9</v>
      </c>
      <c r="D19" s="10" t="s">
        <v>12</v>
      </c>
      <c r="E19" s="17" t="s">
        <v>53</v>
      </c>
      <c r="F19" s="18">
        <v>20000</v>
      </c>
      <c r="G19" s="18">
        <f>7029442.88+150000</f>
        <v>7179442.88</v>
      </c>
      <c r="H19" s="18">
        <f>(G19-F19)*5%</f>
        <v>357972.14400000003</v>
      </c>
      <c r="I19" s="18">
        <f>G19-H19-F19</f>
        <v>6801470.736</v>
      </c>
      <c r="J19" s="18">
        <v>200000</v>
      </c>
      <c r="K19" s="18">
        <f>(G19-F19)-J19</f>
        <v>6959442.88</v>
      </c>
      <c r="L19" s="18">
        <f>(G19-F19)/12</f>
        <v>596620.24</v>
      </c>
      <c r="M19" s="18">
        <f>(G19-F19)*20%</f>
        <v>1431888.5760000001</v>
      </c>
      <c r="N19" s="46">
        <f>M19/12</f>
        <v>119324.04800000001</v>
      </c>
      <c r="O19" s="19">
        <f>(G19-F19)*80%</f>
        <v>5727554.3040000005</v>
      </c>
      <c r="P19" s="19">
        <f>O19*19.8012/1000</f>
        <v>113412.44828436481</v>
      </c>
      <c r="Q19" s="19">
        <f>O19*11.61085/1000</f>
        <v>66501.7738905984</v>
      </c>
      <c r="R19" s="19">
        <f>O19*10.44225/1000</f>
        <v>59808.55393094401</v>
      </c>
    </row>
    <row r="20" spans="2:18" s="21" customFormat="1" ht="12.75">
      <c r="B20" s="23">
        <v>5</v>
      </c>
      <c r="C20" s="10">
        <v>8</v>
      </c>
      <c r="D20" s="10" t="s">
        <v>52</v>
      </c>
      <c r="E20" s="17" t="s">
        <v>45</v>
      </c>
      <c r="F20" s="18">
        <v>20000</v>
      </c>
      <c r="G20" s="18">
        <f>5290333.13+150000</f>
        <v>5440333.13</v>
      </c>
      <c r="H20" s="18">
        <f>(G20-F20)*5%</f>
        <v>271016.6565</v>
      </c>
      <c r="I20" s="18">
        <f>G20-H20-F20</f>
        <v>5149316.4735</v>
      </c>
      <c r="J20" s="18">
        <v>100000</v>
      </c>
      <c r="K20" s="18">
        <f>(G20-F20)-J20</f>
        <v>5320333.13</v>
      </c>
      <c r="L20" s="18">
        <f>(G20-F20)/12</f>
        <v>451694.4275</v>
      </c>
      <c r="M20" s="18">
        <f>(G20-F20)*20%</f>
        <v>1084066.626</v>
      </c>
      <c r="N20" s="46">
        <f>M20/12</f>
        <v>90338.88549999999</v>
      </c>
      <c r="O20" s="19">
        <f>(G20-F20)*80%</f>
        <v>4336266.504</v>
      </c>
      <c r="P20" s="19">
        <f>O20*19.8012/1000</f>
        <v>85863.28029900481</v>
      </c>
      <c r="Q20" s="19">
        <f>O20*11.61085/1000</f>
        <v>50347.73993796839</v>
      </c>
      <c r="R20" s="19">
        <f>O20*10.44225/1000</f>
        <v>45280.378901394</v>
      </c>
    </row>
    <row r="21" spans="2:18" s="21" customFormat="1" ht="12.75">
      <c r="B21" s="23">
        <v>5</v>
      </c>
      <c r="C21" s="10">
        <v>7</v>
      </c>
      <c r="D21" s="10" t="s">
        <v>52</v>
      </c>
      <c r="E21" s="17" t="s">
        <v>46</v>
      </c>
      <c r="F21" s="18">
        <v>20000</v>
      </c>
      <c r="G21" s="18">
        <f>5279161.13+150000</f>
        <v>5429161.13</v>
      </c>
      <c r="H21" s="18">
        <f>(G21-F21)*5%</f>
        <v>270458.0565</v>
      </c>
      <c r="I21" s="18">
        <f>G21-H21-F21</f>
        <v>5138703.0735</v>
      </c>
      <c r="J21" s="18">
        <v>100000</v>
      </c>
      <c r="K21" s="18">
        <f>(G21-F21)-J21</f>
        <v>5309161.13</v>
      </c>
      <c r="L21" s="18">
        <f>(G21-F21)/12</f>
        <v>450763.4275</v>
      </c>
      <c r="M21" s="18">
        <f>(G21-F21)*20%</f>
        <v>1081832.226</v>
      </c>
      <c r="N21" s="46">
        <f>M21/12</f>
        <v>90152.6855</v>
      </c>
      <c r="O21" s="19">
        <f>(G21-F21)*80%</f>
        <v>4327328.904</v>
      </c>
      <c r="P21" s="19">
        <f>O21*19.8012/1000</f>
        <v>85686.30509388482</v>
      </c>
      <c r="Q21" s="19">
        <f>O21*11.61085/1000</f>
        <v>50243.9668050084</v>
      </c>
      <c r="R21" s="19">
        <f>O21*10.44225/1000</f>
        <v>45187.050247794</v>
      </c>
    </row>
    <row r="22" spans="1:46" s="21" customFormat="1" ht="12.75">
      <c r="A22" s="58"/>
      <c r="B22" s="42">
        <v>6</v>
      </c>
      <c r="C22" s="43">
        <v>3</v>
      </c>
      <c r="D22" s="43" t="s">
        <v>52</v>
      </c>
      <c r="E22" s="44" t="s">
        <v>46</v>
      </c>
      <c r="F22" s="45">
        <v>20000</v>
      </c>
      <c r="G22" s="45">
        <f>5279161.13+150000</f>
        <v>5429161.13</v>
      </c>
      <c r="H22" s="18">
        <f>(G22-F22)*5%</f>
        <v>270458.0565</v>
      </c>
      <c r="I22" s="18">
        <f>G22-H22-F22</f>
        <v>5138703.0735</v>
      </c>
      <c r="J22" s="18">
        <v>100000</v>
      </c>
      <c r="K22" s="18">
        <f>(G22-F22)-J22</f>
        <v>5309161.13</v>
      </c>
      <c r="L22" s="18">
        <f>(G22-F22)/12</f>
        <v>450763.4275</v>
      </c>
      <c r="M22" s="18">
        <f>(G22-F22)*20%</f>
        <v>1081832.226</v>
      </c>
      <c r="N22" s="19">
        <f>M22/12</f>
        <v>90152.6855</v>
      </c>
      <c r="O22" s="19">
        <f>(G22-F22)*80%</f>
        <v>4327328.904</v>
      </c>
      <c r="P22" s="19">
        <f>O22*19.8012/1000</f>
        <v>85686.30509388482</v>
      </c>
      <c r="Q22" s="19">
        <f>O22*11.61085/1000</f>
        <v>50243.9668050084</v>
      </c>
      <c r="R22" s="19">
        <f>O22*10.44225/1000</f>
        <v>45187.050247794</v>
      </c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</row>
    <row r="23" spans="1:46" s="21" customFormat="1" ht="4.5" customHeight="1">
      <c r="A23" s="57"/>
      <c r="B23" s="52"/>
      <c r="C23" s="53"/>
      <c r="D23" s="53"/>
      <c r="E23" s="54"/>
      <c r="F23" s="55"/>
      <c r="G23" s="55"/>
      <c r="H23" s="55"/>
      <c r="I23" s="56"/>
      <c r="J23" s="56"/>
      <c r="K23" s="41"/>
      <c r="L23" s="41"/>
      <c r="M23" s="41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</row>
    <row r="24" spans="1:46" s="51" customFormat="1" ht="26.25" customHeight="1">
      <c r="A24" s="57"/>
      <c r="B24" s="98" t="s">
        <v>62</v>
      </c>
      <c r="C24" s="99"/>
      <c r="D24" s="99"/>
      <c r="E24" s="99"/>
      <c r="F24" s="99"/>
      <c r="G24" s="100"/>
      <c r="H24" s="103" t="s">
        <v>67</v>
      </c>
      <c r="I24" s="104"/>
      <c r="J24" s="103" t="s">
        <v>68</v>
      </c>
      <c r="K24" s="104"/>
      <c r="L24" s="78"/>
      <c r="M24" s="78"/>
      <c r="N24" s="41"/>
      <c r="O24" s="41"/>
      <c r="P24" s="41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</row>
    <row r="25" spans="2:18" s="74" customFormat="1" ht="45">
      <c r="B25" s="75" t="s">
        <v>34</v>
      </c>
      <c r="C25" s="75" t="s">
        <v>35</v>
      </c>
      <c r="D25" s="75" t="s">
        <v>2</v>
      </c>
      <c r="E25" s="75" t="s">
        <v>3</v>
      </c>
      <c r="F25" s="76" t="s">
        <v>4</v>
      </c>
      <c r="G25" s="76" t="s">
        <v>44</v>
      </c>
      <c r="H25" s="77" t="s">
        <v>66</v>
      </c>
      <c r="I25" s="76" t="s">
        <v>55</v>
      </c>
      <c r="J25" s="77" t="s">
        <v>66</v>
      </c>
      <c r="K25" s="76" t="s">
        <v>55</v>
      </c>
      <c r="L25" s="77" t="s">
        <v>59</v>
      </c>
      <c r="M25" s="75" t="s">
        <v>56</v>
      </c>
      <c r="N25" s="75" t="s">
        <v>57</v>
      </c>
      <c r="O25" s="75" t="s">
        <v>41</v>
      </c>
      <c r="P25" s="75" t="s">
        <v>76</v>
      </c>
      <c r="Q25" s="75" t="s">
        <v>77</v>
      </c>
      <c r="R25" s="75" t="s">
        <v>78</v>
      </c>
    </row>
    <row r="26" spans="1:18" s="21" customFormat="1" ht="12.75">
      <c r="A26" s="58"/>
      <c r="B26" s="47">
        <v>7</v>
      </c>
      <c r="C26" s="48">
        <v>8</v>
      </c>
      <c r="D26" s="48" t="s">
        <v>12</v>
      </c>
      <c r="E26" s="49" t="s">
        <v>53</v>
      </c>
      <c r="F26" s="50">
        <v>20000</v>
      </c>
      <c r="G26" s="50">
        <f>7029442.88+150000</f>
        <v>7179442.88</v>
      </c>
      <c r="H26" s="18">
        <f>(G26-F26)*5%</f>
        <v>357972.14400000003</v>
      </c>
      <c r="I26" s="18">
        <f>G26-H26-F26</f>
        <v>6801470.736</v>
      </c>
      <c r="J26" s="18">
        <v>200000</v>
      </c>
      <c r="K26" s="18">
        <f>(G26-F26)-J26</f>
        <v>6959442.88</v>
      </c>
      <c r="L26" s="18">
        <f>(G26-F26)/18</f>
        <v>397746.82666666666</v>
      </c>
      <c r="M26" s="18">
        <f>(G26-F26)*20%</f>
        <v>1431888.5760000001</v>
      </c>
      <c r="N26" s="46">
        <f>M26/18</f>
        <v>79549.36533333334</v>
      </c>
      <c r="O26" s="19">
        <f>(G26-F26)*80%</f>
        <v>5727554.3040000005</v>
      </c>
      <c r="P26" s="19">
        <f>O26*19.8012/1000</f>
        <v>113412.44828436481</v>
      </c>
      <c r="Q26" s="19">
        <f>O26*11.61085/1000</f>
        <v>66501.7738905984</v>
      </c>
      <c r="R26" s="19">
        <f>O26*10.44225/1000</f>
        <v>59808.55393094401</v>
      </c>
    </row>
    <row r="27" spans="2:18" s="21" customFormat="1" ht="12.75">
      <c r="B27" s="23">
        <v>1</v>
      </c>
      <c r="C27" s="10">
        <v>11</v>
      </c>
      <c r="D27" s="10" t="s">
        <v>52</v>
      </c>
      <c r="E27" s="17" t="s">
        <v>47</v>
      </c>
      <c r="F27" s="18">
        <v>20000</v>
      </c>
      <c r="G27" s="18">
        <f>5200957.13+150000</f>
        <v>5350957.13</v>
      </c>
      <c r="H27" s="18">
        <f>(G27-F27)*5%</f>
        <v>266547.8565</v>
      </c>
      <c r="I27" s="18">
        <f>G27-H27-F27</f>
        <v>5064409.2735</v>
      </c>
      <c r="J27" s="18">
        <v>100000</v>
      </c>
      <c r="K27" s="18">
        <f>(G27-F27)-J27</f>
        <v>5230957.13</v>
      </c>
      <c r="L27" s="18">
        <f>(G27-F27)/24</f>
        <v>222123.21375</v>
      </c>
      <c r="M27" s="18">
        <f>(G27-F27)*20%</f>
        <v>1066191.426</v>
      </c>
      <c r="N27" s="46">
        <f>M27/24</f>
        <v>44424.64275</v>
      </c>
      <c r="O27" s="19">
        <f>(G27-F27)*80%</f>
        <v>4264765.704</v>
      </c>
      <c r="P27" s="19">
        <f>O27*19.8012/1000</f>
        <v>84447.4786580448</v>
      </c>
      <c r="Q27" s="19">
        <f>O27*11.61085/1000</f>
        <v>49517.5548742884</v>
      </c>
      <c r="R27" s="19">
        <f>O27*10.44225/1000</f>
        <v>44533.74967259399</v>
      </c>
    </row>
    <row r="28" spans="2:18" s="88" customFormat="1" ht="12.75">
      <c r="B28" s="23">
        <v>1</v>
      </c>
      <c r="C28" s="10">
        <v>14</v>
      </c>
      <c r="D28" s="10" t="s">
        <v>52</v>
      </c>
      <c r="E28" s="17" t="s">
        <v>47</v>
      </c>
      <c r="F28" s="18">
        <v>20000</v>
      </c>
      <c r="G28" s="18">
        <f>5200957.13+150000</f>
        <v>5350957.13</v>
      </c>
      <c r="H28" s="18">
        <f>(G28-F28)*5%</f>
        <v>266547.8565</v>
      </c>
      <c r="I28" s="18">
        <f>G28-H28-F28</f>
        <v>5064409.2735</v>
      </c>
      <c r="J28" s="18">
        <v>100000</v>
      </c>
      <c r="K28" s="18">
        <f>(G28-F28)-J28</f>
        <v>5230957.13</v>
      </c>
      <c r="L28" s="18">
        <f>(G28-F28)/24</f>
        <v>222123.21375</v>
      </c>
      <c r="M28" s="18">
        <f>(G28-F28)*20%</f>
        <v>1066191.426</v>
      </c>
      <c r="N28" s="46">
        <f>M28/24</f>
        <v>44424.64275</v>
      </c>
      <c r="O28" s="19">
        <f>(G28-F28)*80%</f>
        <v>4264765.704</v>
      </c>
      <c r="P28" s="19">
        <f>O28*19.8012/1000</f>
        <v>84447.4786580448</v>
      </c>
      <c r="Q28" s="19">
        <f>O28*11.61085/1000</f>
        <v>49517.5548742884</v>
      </c>
      <c r="R28" s="19">
        <f>O28*10.44225/1000</f>
        <v>44533.74967259399</v>
      </c>
    </row>
    <row r="29" spans="2:18" s="22" customFormat="1" ht="12.75">
      <c r="B29" s="24">
        <v>1</v>
      </c>
      <c r="C29" s="10">
        <v>23</v>
      </c>
      <c r="D29" s="10" t="s">
        <v>52</v>
      </c>
      <c r="E29" s="17" t="s">
        <v>47</v>
      </c>
      <c r="F29" s="18">
        <v>20000</v>
      </c>
      <c r="G29" s="18">
        <f>5200957.13+150000</f>
        <v>5350957.13</v>
      </c>
      <c r="H29" s="18">
        <f>(G29-F29)*5%</f>
        <v>266547.8565</v>
      </c>
      <c r="I29" s="18">
        <f>G29-H29-F29</f>
        <v>5064409.2735</v>
      </c>
      <c r="J29" s="18">
        <v>100000</v>
      </c>
      <c r="K29" s="18">
        <f>(G29-F29)-J29</f>
        <v>5230957.13</v>
      </c>
      <c r="L29" s="18">
        <f>(G29-F29)/24</f>
        <v>222123.21375</v>
      </c>
      <c r="M29" s="18">
        <f>(G29-F29)*20%</f>
        <v>1066191.426</v>
      </c>
      <c r="N29" s="46">
        <f>M29/24</f>
        <v>44424.64275</v>
      </c>
      <c r="O29" s="19">
        <f>(G29-F29)*80%</f>
        <v>4264765.704</v>
      </c>
      <c r="P29" s="19">
        <f>O29*19.8012/1000</f>
        <v>84447.4786580448</v>
      </c>
      <c r="Q29" s="19">
        <f>O29*11.61085/1000</f>
        <v>49517.5548742884</v>
      </c>
      <c r="R29" s="19">
        <f>O29*10.44225/1000</f>
        <v>44533.74967259399</v>
      </c>
    </row>
    <row r="30" spans="2:18" s="21" customFormat="1" ht="12.75">
      <c r="B30" s="23">
        <v>7</v>
      </c>
      <c r="C30" s="10">
        <v>7</v>
      </c>
      <c r="D30" s="10" t="s">
        <v>52</v>
      </c>
      <c r="E30" s="17" t="s">
        <v>45</v>
      </c>
      <c r="F30" s="18">
        <v>20000</v>
      </c>
      <c r="G30" s="18">
        <f>5290333.13+150000</f>
        <v>5440333.13</v>
      </c>
      <c r="H30" s="18">
        <f>(G30-F30)*5%</f>
        <v>271016.6565</v>
      </c>
      <c r="I30" s="18">
        <f>G30-H30-F30</f>
        <v>5149316.4735</v>
      </c>
      <c r="J30" s="18">
        <v>100000</v>
      </c>
      <c r="K30" s="18">
        <f>(G30-F30)-J30</f>
        <v>5320333.13</v>
      </c>
      <c r="L30" s="18">
        <f>(G30-F30)/18</f>
        <v>301129.61833333335</v>
      </c>
      <c r="M30" s="18">
        <f>(G30-F30)*20%</f>
        <v>1084066.626</v>
      </c>
      <c r="N30" s="46">
        <f>M30/18</f>
        <v>60225.92366666666</v>
      </c>
      <c r="O30" s="19">
        <f>(G30-F30)*80%</f>
        <v>4336266.504</v>
      </c>
      <c r="P30" s="19">
        <f>O30*19.8012/1000</f>
        <v>85863.28029900481</v>
      </c>
      <c r="Q30" s="19">
        <f>O30*11.61085/1000</f>
        <v>50347.73993796839</v>
      </c>
      <c r="R30" s="19">
        <f>O30*10.44225/1000</f>
        <v>45280.378901394</v>
      </c>
    </row>
    <row r="31" spans="2:16" s="21" customFormat="1" ht="3.75" customHeight="1">
      <c r="B31" s="52"/>
      <c r="C31" s="53"/>
      <c r="D31" s="53"/>
      <c r="E31" s="54"/>
      <c r="F31" s="55"/>
      <c r="G31" s="55"/>
      <c r="H31" s="56"/>
      <c r="I31" s="56"/>
      <c r="J31" s="56"/>
      <c r="K31" s="110"/>
      <c r="L31" s="110"/>
      <c r="M31" s="110"/>
      <c r="N31" s="41"/>
      <c r="O31" s="41"/>
      <c r="P31" s="41"/>
    </row>
    <row r="32" spans="2:16" s="21" customFormat="1" ht="23.25" customHeight="1">
      <c r="B32" s="95" t="s">
        <v>63</v>
      </c>
      <c r="C32" s="96"/>
      <c r="D32" s="96"/>
      <c r="E32" s="96"/>
      <c r="F32" s="96"/>
      <c r="G32" s="97"/>
      <c r="H32" s="105" t="s">
        <v>67</v>
      </c>
      <c r="I32" s="106"/>
      <c r="J32" s="105" t="s">
        <v>68</v>
      </c>
      <c r="K32" s="106"/>
      <c r="L32" s="59"/>
      <c r="M32" s="59"/>
      <c r="N32" s="41"/>
      <c r="O32" s="41"/>
      <c r="P32" s="41"/>
    </row>
    <row r="33" spans="2:18" s="74" customFormat="1" ht="54.75" customHeight="1">
      <c r="B33" s="79" t="s">
        <v>34</v>
      </c>
      <c r="C33" s="79" t="s">
        <v>35</v>
      </c>
      <c r="D33" s="79" t="s">
        <v>2</v>
      </c>
      <c r="E33" s="79" t="s">
        <v>3</v>
      </c>
      <c r="F33" s="80" t="s">
        <v>4</v>
      </c>
      <c r="G33" s="80" t="s">
        <v>44</v>
      </c>
      <c r="H33" s="81" t="s">
        <v>66</v>
      </c>
      <c r="I33" s="80" t="s">
        <v>55</v>
      </c>
      <c r="J33" s="81" t="s">
        <v>66</v>
      </c>
      <c r="K33" s="80" t="s">
        <v>55</v>
      </c>
      <c r="L33" s="81" t="s">
        <v>60</v>
      </c>
      <c r="M33" s="79" t="s">
        <v>56</v>
      </c>
      <c r="N33" s="79" t="s">
        <v>9</v>
      </c>
      <c r="O33" s="79" t="s">
        <v>41</v>
      </c>
      <c r="P33" s="79" t="s">
        <v>76</v>
      </c>
      <c r="Q33" s="79" t="s">
        <v>77</v>
      </c>
      <c r="R33" s="79" t="s">
        <v>78</v>
      </c>
    </row>
    <row r="34" spans="2:18" s="22" customFormat="1" ht="12.75">
      <c r="B34" s="24">
        <v>1</v>
      </c>
      <c r="C34" s="10">
        <v>6</v>
      </c>
      <c r="D34" s="10" t="s">
        <v>12</v>
      </c>
      <c r="E34" s="17" t="s">
        <v>13</v>
      </c>
      <c r="F34" s="18">
        <v>20000</v>
      </c>
      <c r="G34" s="18">
        <f>7443822.75+150000</f>
        <v>7593822.75</v>
      </c>
      <c r="H34" s="18">
        <f>(G34-F34)*5%</f>
        <v>378691.1375</v>
      </c>
      <c r="I34" s="18">
        <f>G34-H34-F34</f>
        <v>7195131.6125</v>
      </c>
      <c r="J34" s="18">
        <v>200000</v>
      </c>
      <c r="K34" s="18">
        <f>(G34-F34)-J34</f>
        <v>7373822.75</v>
      </c>
      <c r="L34" s="18">
        <f>(G34-F34)/24</f>
        <v>315575.9479166667</v>
      </c>
      <c r="M34" s="18">
        <f>(G34-F34)*20%</f>
        <v>1514764.55</v>
      </c>
      <c r="N34" s="19">
        <f>M34/24</f>
        <v>63115.18958333333</v>
      </c>
      <c r="O34" s="19">
        <f>(G34-F34)*80%</f>
        <v>6059058.2</v>
      </c>
      <c r="P34" s="19">
        <f>O34*19.8012/1000</f>
        <v>119976.62322984001</v>
      </c>
      <c r="Q34" s="19">
        <f>O34*11.61085/1000</f>
        <v>70350.81590146999</v>
      </c>
      <c r="R34" s="19">
        <f>O34*10.44225/1000</f>
        <v>63270.20048895</v>
      </c>
    </row>
    <row r="35" spans="2:18" s="22" customFormat="1" ht="3" customHeight="1">
      <c r="B35" s="37"/>
      <c r="C35" s="38"/>
      <c r="D35" s="38"/>
      <c r="E35" s="39"/>
      <c r="F35" s="40"/>
      <c r="G35" s="40"/>
      <c r="H35" s="40"/>
      <c r="I35" s="40"/>
      <c r="J35" s="41"/>
      <c r="K35" s="41"/>
      <c r="L35" s="41"/>
      <c r="M35" s="40"/>
      <c r="N35" s="41"/>
      <c r="O35" s="41"/>
      <c r="P35" s="41"/>
      <c r="Q35" s="41"/>
      <c r="R35" s="41"/>
    </row>
    <row r="36" spans="1:17" s="1" customFormat="1" ht="15">
      <c r="A36" s="67" t="s">
        <v>18</v>
      </c>
      <c r="C36" s="11">
        <v>1</v>
      </c>
      <c r="D36" s="12" t="s">
        <v>19</v>
      </c>
      <c r="E36" s="13"/>
      <c r="F36" s="12"/>
      <c r="G36" s="14"/>
      <c r="H36" s="14"/>
      <c r="I36" s="14"/>
      <c r="J36" s="12"/>
      <c r="K36" s="86">
        <v>13</v>
      </c>
      <c r="L36" s="12" t="s">
        <v>64</v>
      </c>
      <c r="M36" s="12"/>
      <c r="N36" s="12"/>
      <c r="O36" s="12"/>
      <c r="P36" s="14"/>
      <c r="Q36" s="3"/>
    </row>
    <row r="37" spans="3:17" s="1" customFormat="1" ht="10.5" customHeight="1">
      <c r="C37" s="11">
        <v>2</v>
      </c>
      <c r="D37" s="12" t="s">
        <v>20</v>
      </c>
      <c r="E37" s="12"/>
      <c r="F37" s="12"/>
      <c r="G37" s="14"/>
      <c r="H37" s="14"/>
      <c r="I37" s="14"/>
      <c r="J37" s="12"/>
      <c r="K37" s="108">
        <v>14</v>
      </c>
      <c r="L37" s="107" t="s">
        <v>65</v>
      </c>
      <c r="M37" s="107"/>
      <c r="N37" s="107"/>
      <c r="O37" s="107"/>
      <c r="P37" s="107"/>
      <c r="Q37" s="62"/>
    </row>
    <row r="38" spans="3:17" s="1" customFormat="1" ht="11.25" customHeight="1">
      <c r="C38" s="11">
        <v>3</v>
      </c>
      <c r="D38" s="12" t="s">
        <v>22</v>
      </c>
      <c r="E38" s="12"/>
      <c r="F38" s="12"/>
      <c r="G38" s="14"/>
      <c r="H38" s="14"/>
      <c r="I38" s="14"/>
      <c r="J38" s="12"/>
      <c r="K38" s="108"/>
      <c r="L38" s="107"/>
      <c r="M38" s="107"/>
      <c r="N38" s="107"/>
      <c r="O38" s="107"/>
      <c r="P38" s="107"/>
      <c r="Q38" s="63"/>
    </row>
    <row r="39" spans="3:17" s="1" customFormat="1" ht="10.5" customHeight="1">
      <c r="C39" s="11">
        <v>4</v>
      </c>
      <c r="D39" s="12" t="s">
        <v>69</v>
      </c>
      <c r="E39" s="12"/>
      <c r="F39" s="12"/>
      <c r="G39" s="14"/>
      <c r="H39" s="14"/>
      <c r="I39" s="14"/>
      <c r="J39" s="12"/>
      <c r="K39" s="14"/>
      <c r="L39" s="12"/>
      <c r="M39" s="12"/>
      <c r="N39" s="12"/>
      <c r="O39" s="12"/>
      <c r="P39" s="72"/>
      <c r="Q39" s="63"/>
    </row>
    <row r="40" spans="3:17" s="1" customFormat="1" ht="9.75" customHeight="1">
      <c r="C40" s="11">
        <v>5</v>
      </c>
      <c r="D40" s="12" t="s">
        <v>71</v>
      </c>
      <c r="E40" s="12"/>
      <c r="F40" s="12"/>
      <c r="G40" s="14"/>
      <c r="H40" s="14"/>
      <c r="I40" s="14"/>
      <c r="J40" s="12"/>
      <c r="K40" s="14"/>
      <c r="L40" s="12"/>
      <c r="M40" s="12"/>
      <c r="P40" s="3"/>
      <c r="Q40" s="3"/>
    </row>
    <row r="41" spans="3:17" s="1" customFormat="1" ht="9.75" customHeight="1">
      <c r="C41" s="11">
        <v>6</v>
      </c>
      <c r="D41" s="12" t="s">
        <v>27</v>
      </c>
      <c r="E41" s="12"/>
      <c r="F41" s="12"/>
      <c r="G41" s="14"/>
      <c r="H41" s="14"/>
      <c r="I41" s="14"/>
      <c r="J41" s="12"/>
      <c r="K41" s="14"/>
      <c r="L41" s="12"/>
      <c r="M41" s="12"/>
      <c r="P41" s="3"/>
      <c r="Q41" s="3"/>
    </row>
    <row r="42" spans="3:17" s="1" customFormat="1" ht="10.5" customHeight="1">
      <c r="C42" s="11">
        <v>7</v>
      </c>
      <c r="D42" s="12" t="s">
        <v>28</v>
      </c>
      <c r="E42" s="12"/>
      <c r="F42" s="12"/>
      <c r="G42" s="14"/>
      <c r="H42" s="14"/>
      <c r="I42" s="14"/>
      <c r="J42" s="12"/>
      <c r="K42" s="14"/>
      <c r="L42" s="12"/>
      <c r="M42" s="12"/>
      <c r="P42" s="3"/>
      <c r="Q42" s="3"/>
    </row>
    <row r="43" spans="3:13" s="1" customFormat="1" ht="9.75" customHeight="1">
      <c r="C43" s="11">
        <v>8</v>
      </c>
      <c r="D43" s="12" t="s">
        <v>29</v>
      </c>
      <c r="E43" s="12"/>
      <c r="F43" s="12"/>
      <c r="G43" s="14"/>
      <c r="H43" s="14"/>
      <c r="I43" s="14"/>
      <c r="J43" s="12"/>
      <c r="K43" s="14"/>
      <c r="L43" s="12"/>
      <c r="M43" s="12"/>
    </row>
    <row r="44" spans="3:17" s="1" customFormat="1" ht="12" customHeight="1">
      <c r="C44" s="11">
        <v>9</v>
      </c>
      <c r="D44" s="12" t="s">
        <v>43</v>
      </c>
      <c r="E44" s="12"/>
      <c r="F44" s="12"/>
      <c r="G44" s="14"/>
      <c r="H44" s="14"/>
      <c r="I44" s="14"/>
      <c r="J44" s="12"/>
      <c r="K44" s="14"/>
      <c r="L44" s="14"/>
      <c r="M44" s="14"/>
      <c r="N44" s="14"/>
      <c r="P44" s="3"/>
      <c r="Q44" s="3"/>
    </row>
    <row r="45" spans="3:17" s="1" customFormat="1" ht="9.75" customHeight="1">
      <c r="C45" s="11">
        <v>10</v>
      </c>
      <c r="D45" s="12" t="s">
        <v>31</v>
      </c>
      <c r="E45" s="12"/>
      <c r="F45" s="12"/>
      <c r="G45" s="14"/>
      <c r="H45" s="14"/>
      <c r="I45" s="14"/>
      <c r="J45" s="12"/>
      <c r="K45" s="14"/>
      <c r="L45" s="14"/>
      <c r="M45" s="14"/>
      <c r="N45" s="14"/>
      <c r="P45" s="3"/>
      <c r="Q45" s="3"/>
    </row>
    <row r="46" spans="3:15" ht="11.25" customHeight="1">
      <c r="C46" s="11">
        <v>11</v>
      </c>
      <c r="D46" s="12" t="s">
        <v>39</v>
      </c>
      <c r="E46" s="22"/>
      <c r="F46" s="22"/>
      <c r="G46" s="22"/>
      <c r="H46" s="22"/>
      <c r="I46" s="22"/>
      <c r="O46" s="1"/>
    </row>
    <row r="47" spans="3:9" ht="11.25" customHeight="1">
      <c r="C47" s="11">
        <v>12</v>
      </c>
      <c r="D47" s="25" t="s">
        <v>42</v>
      </c>
      <c r="E47" s="87"/>
      <c r="F47" s="87"/>
      <c r="G47" s="87"/>
      <c r="H47" s="87"/>
      <c r="I47" s="87"/>
    </row>
    <row r="49" ht="15" customHeight="1"/>
    <row r="50" ht="15" customHeight="1"/>
  </sheetData>
  <sheetProtection/>
  <autoFilter ref="B7:R7"/>
  <mergeCells count="18">
    <mergeCell ref="H2:M2"/>
    <mergeCell ref="H4:L4"/>
    <mergeCell ref="L37:P38"/>
    <mergeCell ref="K37:K38"/>
    <mergeCell ref="M6:O6"/>
    <mergeCell ref="K31:M31"/>
    <mergeCell ref="H6:I6"/>
    <mergeCell ref="J6:K6"/>
    <mergeCell ref="H17:I17"/>
    <mergeCell ref="B6:G6"/>
    <mergeCell ref="J17:K17"/>
    <mergeCell ref="H24:I24"/>
    <mergeCell ref="J24:K24"/>
    <mergeCell ref="B32:G32"/>
    <mergeCell ref="B24:G24"/>
    <mergeCell ref="B17:G17"/>
    <mergeCell ref="H32:I32"/>
    <mergeCell ref="J32:K32"/>
  </mergeCells>
  <printOptions/>
  <pageMargins left="0.078125" right="0.0859375" top="0.24" bottom="0.17" header="0.3" footer="0.3"/>
  <pageSetup horizontalDpi="600" verticalDpi="600" orientation="landscape" paperSize="9" scale="7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Arienza Land</dc:creator>
  <cp:keywords/>
  <dc:description/>
  <cp:lastModifiedBy>Generoso Palencia</cp:lastModifiedBy>
  <cp:lastPrinted>2014-09-04T01:22:17Z</cp:lastPrinted>
  <dcterms:created xsi:type="dcterms:W3CDTF">2013-08-15T02:04:25Z</dcterms:created>
  <dcterms:modified xsi:type="dcterms:W3CDTF">2014-09-20T06:58:06Z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